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215" tabRatio="768" activeTab="1"/>
  </bookViews>
  <sheets>
    <sheet name="1-ԱՄՓՈՓ" sheetId="1" r:id="rId1"/>
    <sheet name="2-ԸՆԴԱՄԵՆԸ ԾԱԽՍԵՐ" sheetId="2" r:id="rId2"/>
    <sheet name="3-Ծախսերի բացվածք" sheetId="3" r:id="rId3"/>
    <sheet name="4-փոստային կապ" sheetId="4" r:id="rId4"/>
    <sheet name="5-ԿԱՊ" sheetId="5" r:id="rId5"/>
    <sheet name="7-էլ-էներգիա" sheetId="6" r:id="rId6"/>
    <sheet name="8-էլ-էներգիա-ջեռուցում" sheetId="7" r:id="rId7"/>
    <sheet name="10-գործուղում" sheetId="8" r:id="rId8"/>
    <sheet name="11-ավտոմեքենա" sheetId="9" r:id="rId9"/>
    <sheet name="12-վարչական սարքավորումներ" sheetId="10" r:id="rId10"/>
    <sheet name="14տարածքներ" sheetId="11" r:id="rId11"/>
    <sheet name="15ընթացիկ նորոգում" sheetId="12" r:id="rId12"/>
    <sheet name="16վերապատրաստում" sheetId="13" r:id="rId13"/>
    <sheet name="17կառուցվածք" sheetId="14" r:id="rId14"/>
    <sheet name="18հաստիքացուցակ պետ-ծառ" sheetId="15" r:id="rId15"/>
    <sheet name="31աշխատավարձի ֆոնդ" sheetId="16" r:id="rId16"/>
  </sheets>
  <definedNames>
    <definedName name="_xlnm.Print_Titles" localSheetId="1">'2-ԸՆԴԱՄԵՆԸ ԾԱԽՍԵՐ'!$6:$8</definedName>
  </definedNames>
  <calcPr fullCalcOnLoad="1"/>
</workbook>
</file>

<file path=xl/comments5.xml><?xml version="1.0" encoding="utf-8"?>
<comments xmlns="http://schemas.openxmlformats.org/spreadsheetml/2006/main">
  <authors>
    <author>Marine Shishyan</author>
  </authors>
  <commentList>
    <comment ref="D34" authorId="0">
      <text>
        <r>
          <rPr>
            <b/>
            <sz val="9"/>
            <rFont val="Tahoma"/>
            <family val="2"/>
          </rPr>
          <t>տե՛ս ներքևում՝ հղում 2-ը
=E34+G34</t>
        </r>
      </text>
    </comment>
    <comment ref="D36" authorId="0">
      <text>
        <r>
          <rPr>
            <b/>
            <sz val="9"/>
            <rFont val="Tahoma"/>
            <family val="2"/>
          </rPr>
          <t>տե՛ս ներքևում՝ հղում 1-ը</t>
        </r>
      </text>
    </comment>
  </commentList>
</comments>
</file>

<file path=xl/sharedStrings.xml><?xml version="1.0" encoding="utf-8"?>
<sst xmlns="http://schemas.openxmlformats.org/spreadsheetml/2006/main" count="2034" uniqueCount="952">
  <si>
    <t>.</t>
  </si>
  <si>
    <t>x</t>
  </si>
  <si>
    <t>I</t>
  </si>
  <si>
    <t>II</t>
  </si>
  <si>
    <t>III</t>
  </si>
  <si>
    <t>IY</t>
  </si>
  <si>
    <t>NN</t>
  </si>
  <si>
    <t>*</t>
  </si>
  <si>
    <t>V</t>
  </si>
  <si>
    <t xml:space="preserve">Ձև N  1 </t>
  </si>
  <si>
    <t>Կառավարման  ապարատ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</si>
  <si>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</si>
  <si>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</si>
  <si>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</si>
  <si>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</si>
  <si>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</si>
  <si>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</si>
  <si>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</si>
  <si>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</si>
  <si>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</si>
  <si>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</si>
  <si>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</si>
  <si>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</si>
  <si>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</si>
  <si>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</si>
  <si>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</si>
  <si>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</si>
  <si>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</si>
  <si>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</si>
  <si>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</si>
  <si>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</si>
  <si>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</si>
  <si>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</si>
  <si>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</si>
  <si>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</si>
  <si>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</si>
  <si>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</si>
  <si>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</si>
  <si>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</si>
  <si>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</si>
  <si>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</si>
  <si>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</si>
  <si>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</si>
  <si>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</si>
  <si>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</si>
  <si>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</si>
  <si>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Այլ նպաստներ բյուջեից</t>
  </si>
  <si>
    <t>Այլ հարկեր</t>
  </si>
  <si>
    <t>Պարտադիր վճարներ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</si>
  <si>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</si>
  <si>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</si>
  <si>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</si>
  <si>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</si>
  <si>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</si>
  <si>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>Հ Ա Շ Վ Ա Ր Կ</t>
  </si>
  <si>
    <t>Բաժանորդային վարձ</t>
  </si>
  <si>
    <t>Ղեկավարի խորհրդական</t>
  </si>
  <si>
    <t>Ղեկավարի օգնական</t>
  </si>
  <si>
    <t>Ղեկավարի մամուլի քարտուղար</t>
  </si>
  <si>
    <t>Ընդամենը</t>
  </si>
  <si>
    <t>հ/հ</t>
  </si>
  <si>
    <t>Հ/Հ</t>
  </si>
  <si>
    <t>Այդ թվում`</t>
  </si>
  <si>
    <t>Ձև N 7</t>
  </si>
  <si>
    <t>Ինտերնետ</t>
  </si>
  <si>
    <t>Ձև N 8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</si>
  <si>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</si>
  <si>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</si>
  <si>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</si>
  <si>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</si>
  <si>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</si>
  <si>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</si>
  <si>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</si>
  <si>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</si>
  <si>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</si>
  <si>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</si>
  <si>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</si>
  <si>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Բնակավայրը</t>
  </si>
  <si>
    <t>Շենքի տեսակը  (քար / պանելային,   միաձույլ)</t>
  </si>
  <si>
    <t xml:space="preserve">Շենքի ծավալը (խոր/մետր) հաշվարկված արտաքին չափերով </t>
  </si>
  <si>
    <t>այդ թվում` զբաղեցրած տարածքի ծավալը (խոր. մետր)</t>
  </si>
  <si>
    <t xml:space="preserve">քար </t>
  </si>
  <si>
    <t>պանելային,      միաձույլ</t>
  </si>
  <si>
    <t>Ընդամենը ջեռուցման համար էլեկտրաէներգիայի ծախս               (հազ. դրամ)</t>
  </si>
  <si>
    <t>Ձև N 10</t>
  </si>
  <si>
    <t>ՀՀ կառավարության 2005 թվականի ապրիլի 28-ի N 629-Ն որոշման պահանջներին համապատասխան:</t>
  </si>
  <si>
    <t>Ձև N 11</t>
  </si>
  <si>
    <t>Տ Ե Ղ Ե Կ Ա Ն Ք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</si>
  <si>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</si>
  <si>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</si>
  <si>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</si>
  <si>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</si>
  <si>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</si>
  <si>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</si>
  <si>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</si>
  <si>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</si>
  <si>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</si>
  <si>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</si>
  <si>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>Ձև N 12</t>
  </si>
  <si>
    <t>Քանակը</t>
  </si>
  <si>
    <t>Մեկ միավորի գինը     /հազ.  դրամ/</t>
  </si>
  <si>
    <t>Ընդամենը ծախսեր /հազ.  դրամ/</t>
  </si>
  <si>
    <t xml:space="preserve">Այդ թվում` </t>
  </si>
  <si>
    <t>Չափի միավորը</t>
  </si>
  <si>
    <t>Ձեռքբեր ման  տարեթիվը</t>
  </si>
  <si>
    <t>Սկզբնական արժեքը   /հազ.դրամ/</t>
  </si>
  <si>
    <t xml:space="preserve">ՙ'Հայաստանի Հանրապետության պետական մարմինների գծով Հայաստանի Հանրապետության պետական բյուջեի նախագծում բյուջետային ծախսերի առանձին տեսակների` ջեռուցման, վառելիքի և էլեկտրաէներգիայի ձեռք բերման ծավալների հաշվարկման հիմքում դրվող նորմաները հաստատելու մասին՚ </t>
  </si>
  <si>
    <t>Ձև N 15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</si>
  <si>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</si>
  <si>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</si>
  <si>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</si>
  <si>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Բաժիններ</t>
  </si>
  <si>
    <t>Ձև N 17</t>
  </si>
  <si>
    <t>/դրամ/</t>
  </si>
  <si>
    <t>Տարբերությունը</t>
  </si>
  <si>
    <t>Հաստիքային ցուցակի համեմատական</t>
  </si>
  <si>
    <t>Պաշտոնի անվանումը</t>
  </si>
  <si>
    <t>Պաշտոնի    կոդը</t>
  </si>
  <si>
    <t>Բարձր լեռնային վայրերում աշխատելու համար հավելում</t>
  </si>
  <si>
    <t xml:space="preserve">Ըստ հաստատված կառուցվածքային ստորաբաժանումների </t>
  </si>
  <si>
    <t>Ընդամենը ըստ ստորաբաժանման</t>
  </si>
  <si>
    <t>Ընդամենը քաղաքացիական /պետական, հատուկ/ ծառայողներ</t>
  </si>
  <si>
    <t>Ընդամենը  ըստ  պետական կառավարման  մարմնի</t>
  </si>
  <si>
    <t>Հաստիքային ցուցակը կազմել ըստ հաստատված կառուցվածքային ստորաբաժանումների</t>
  </si>
  <si>
    <t>Ձև N 18</t>
  </si>
  <si>
    <t>Դիվանագիտական ծառայողներ</t>
  </si>
  <si>
    <t xml:space="preserve">Սահմանվող պաշտոնային դրույքաչափը </t>
  </si>
  <si>
    <t>Դատավորներ</t>
  </si>
  <si>
    <t xml:space="preserve">Ընդամենը ամսական աշխատա վարձի ֆոնդ  </t>
  </si>
  <si>
    <t>Դատախազներ</t>
  </si>
  <si>
    <t xml:space="preserve">Ընդամենը </t>
  </si>
  <si>
    <t>Հարկային ծառայողներ</t>
  </si>
  <si>
    <t>Մաքսային ծառայողներ</t>
  </si>
  <si>
    <t>Հարկադիր կատարողներ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</si>
  <si>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</si>
  <si>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</si>
  <si>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</si>
  <si>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</si>
  <si>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</si>
  <si>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</si>
  <si>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</si>
  <si>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</si>
  <si>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</si>
  <si>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</si>
  <si>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 xml:space="preserve">Հաստիքային միավորների թիվը </t>
  </si>
  <si>
    <t xml:space="preserve">Ամսական աշխատա    վարձի ֆոնդ    </t>
  </si>
  <si>
    <r>
      <t>*</t>
    </r>
    <r>
      <rPr>
        <sz val="8"/>
        <rFont val="GHEA Grapalat"/>
        <family val="3"/>
      </rPr>
      <t xml:space="preserve">Սահմանվող պաշտոնային դրույքաչափը /ս.8 x բազային աշխատավարձ/ </t>
    </r>
  </si>
  <si>
    <t xml:space="preserve">Ընդամենը տարեկան աշխատա վարձի ֆոնդ  </t>
  </si>
  <si>
    <t>…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</si>
  <si>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</si>
  <si>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</si>
  <si>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</si>
  <si>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</si>
  <si>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Հայեցողական պաշտոններ </t>
  </si>
  <si>
    <t>խորհրդական</t>
  </si>
  <si>
    <t>օգնական</t>
  </si>
  <si>
    <t>մամուլի քարտուղար</t>
  </si>
  <si>
    <t>Տեխնիկական սպասարկում իրականացնող և քաղաքացիական աշխատանք կատարող անձնակազմ</t>
  </si>
  <si>
    <t>IV</t>
  </si>
  <si>
    <t xml:space="preserve">Ընդամենը աշխատողների թվաքանակը </t>
  </si>
  <si>
    <t>Քաղաքացիական /պետական, դատական, հատուկ/ ծառայողներ</t>
  </si>
  <si>
    <t>Աշխատավարձի ֆոնդի հաշվարկ</t>
  </si>
  <si>
    <t>Ձև N 16</t>
  </si>
  <si>
    <t xml:space="preserve"> /հազ. դրամ/</t>
  </si>
  <si>
    <t>/հազ. դրամ/</t>
  </si>
  <si>
    <t>Զբաղեցվող տարածքի գտնվելու հասցեն</t>
  </si>
  <si>
    <t>Ընդամենը՝</t>
  </si>
  <si>
    <t>Տարեկան վարձավճարի գումարը                   (հազ դրամ)</t>
  </si>
  <si>
    <t>Տարածքը (քառ մետր)</t>
  </si>
  <si>
    <t>Պետական մարմնի ստորաբաժանման անվանումը, որի կողմից զբաղեցված է համապատասխան տարածքը</t>
  </si>
  <si>
    <t>Աշխատակազմի մասնագիտական զարգացման ծառայություններ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</si>
  <si>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</si>
  <si>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</si>
  <si>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</si>
  <si>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</si>
  <si>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</si>
  <si>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Ձև N 5</t>
  </si>
  <si>
    <t>Ընդամենը  տարեկան ծախսի նորմը (կվտ/ժ)</t>
  </si>
  <si>
    <t xml:space="preserve">Ջերմային էներգիայի տարեկան ծախսի նորմը` կվտ/Ժ/ խոր.մետր                 </t>
  </si>
  <si>
    <t>հոդվածի կոդը</t>
  </si>
  <si>
    <t>Ձև N 3</t>
  </si>
  <si>
    <t>ՎԱՐՁԱԿԱԼՈՒԹՅԱՄԲ</t>
  </si>
  <si>
    <t>ՍԵՓԱԿԱՆՈՒԹՅԱՆ ԻՐԱՎՈՒՆՔՈՎ</t>
  </si>
  <si>
    <t xml:space="preserve">ԱՆՀԱՏՈՒՅՑ ՕԳՏԱԳՈՐԾՄԱՆ </t>
  </si>
  <si>
    <t>Տարածքը զբաղեցնելու իրավական հիմքը (համապատասխան իրավական ակտի, Վարձակալության պայմանագրի կամ սեփականության վկայականի համարը)</t>
  </si>
  <si>
    <t>լրացնել ապրանքի կամ ծառայության նկարագրությունը</t>
  </si>
  <si>
    <t>Ծառայողական գործուղումների գծով ծախսեր</t>
  </si>
  <si>
    <t xml:space="preserve">Տվյալ տարածքում վճարման ենթակա ընդամենը կոմունալ ծախսը                  </t>
  </si>
  <si>
    <t>Էլեկտրաէներգիա (լուսավորություն)  /հազ դրամ/</t>
  </si>
  <si>
    <t>Էլեկտրաէներգիա (ջեռուցում)           /հազ դրամ/</t>
  </si>
  <si>
    <t>Գազ (ջեռուցում)          /հազ դրամ/</t>
  </si>
  <si>
    <t>Ջուր                   /հազ դրամ/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</si>
  <si>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</si>
  <si>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</si>
  <si>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</si>
  <si>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</si>
  <si>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</si>
  <si>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</si>
  <si>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</si>
  <si>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</si>
  <si>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(միջոցառման անվանումը)</t>
  </si>
  <si>
    <t>(լրացնել ծրագրի անվանումը)</t>
  </si>
  <si>
    <t>(լրացնել միջոցառման անվանումը)</t>
  </si>
  <si>
    <t>ենթակա է պարտադիր լրացման</t>
  </si>
  <si>
    <t>Գլխավոր քարտուղար</t>
  </si>
  <si>
    <t>Գլխավոր քարտուղարի տեղակալ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</si>
  <si>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</si>
  <si>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</si>
  <si>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</si>
  <si>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</si>
  <si>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</si>
  <si>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</si>
  <si>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>Գրասենյակ, գործակալություն</t>
  </si>
  <si>
    <t xml:space="preserve">Ղեկավար պաշտոններ </t>
  </si>
  <si>
    <t>ՀՀ կառավարության  2014թ. հուլիսի 3-ի «Պետական իշխանության մարմիններում քաղաքացիական աշխատանք կատարող և տեխնիկական սպասարկում իրականացնող անձանց պաշտոնային դրույքաչափերը սահմանելու մասին» N 737-Ն որոշում</t>
  </si>
  <si>
    <t>«Պետական պաշտոններ և պետական ծառայության պաշտոններ զբաղեցնող անձանց վարձատրության մասին» ՀՀ օրենք</t>
  </si>
  <si>
    <t xml:space="preserve">Քաղաքացիական աշխատանք կատարող և տեխնիկական սպասարկում իրականացնող անձնակազմ </t>
  </si>
  <si>
    <t>Քաղաքացիական աշխատանք կատարող և տեխնիկական սպասարկում իրականացնող անձնակազմ</t>
  </si>
  <si>
    <t xml:space="preserve"> Բյուջետային հատկացումների ծրագրերի և միջոցառումների անվանումները</t>
  </si>
  <si>
    <t>Հայեցողական պաշտոններ /խորհրդական, օգնական, մամուլի քարտուղար/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</si>
  <si>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</si>
  <si>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Մարմնի ղեկավար</t>
  </si>
  <si>
    <t>Մարմնի ղեկավարի տեղակալ</t>
  </si>
  <si>
    <t>Լուսավորության և կենցաղային սարքերի ծախսի, օդի լավորակման դեպքում` շենքերի և շինությունների 1քառ/մետր մակերեսի համար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</si>
  <si>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</si>
  <si>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</si>
  <si>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</si>
  <si>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</si>
  <si>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3100..</t>
  </si>
  <si>
    <t>1100..</t>
  </si>
  <si>
    <t>Գործուղման նպատակը</t>
  </si>
  <si>
    <t>2023թ.</t>
  </si>
  <si>
    <t>Վարձակալությամբ/ենթավարձակալությամբ գույքը հանձնող սուբյեկտի անվանումը՝ ըստ  պայմանագրի</t>
  </si>
  <si>
    <t>2024թ.</t>
  </si>
  <si>
    <t>Տվյալ պաշտոնում աշխատանքային ստաժը /2024թ. հուլիսի 1-ի դրությամբ/  (տարի/ամիս)</t>
  </si>
  <si>
    <t xml:space="preserve">Գործակից /2024թ. հուլիսի 1-ի դրությամբ/  </t>
  </si>
  <si>
    <r>
      <t>**</t>
    </r>
    <r>
      <rPr>
        <sz val="10"/>
        <rFont val="GHEA Grapalat"/>
        <family val="3"/>
      </rPr>
      <t>Քաղաքացիական /պետական/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</si>
  <si>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t>2025թ. բյուջետային  հայտ</t>
  </si>
  <si>
    <t>2025թ.</t>
  </si>
  <si>
    <t xml:space="preserve">2025թ. </t>
  </si>
  <si>
    <t>Տվյալ պաշտոնում աշխատանքային ստաժը /2025թ. հուլիսի 1-ի դրությամբ/  (տարի/ամիս)</t>
  </si>
  <si>
    <t xml:space="preserve">Գործակից /2025թ. հուլիսի 1-ի դրությամբ/  </t>
  </si>
  <si>
    <t>Հակակոռուպցիոն կոմիտեի ինքնավար պաշտոն զբաղեցնող անձինք և ծառայողներ</t>
  </si>
  <si>
    <t>Ձև N 14</t>
  </si>
  <si>
    <t>ՀԱՇՎԱՐԿ</t>
  </si>
  <si>
    <t>Վերապատրաստվողների թիվը                                                   (մարդ)</t>
  </si>
  <si>
    <t>Ընդամենը (հազար դրամ)</t>
  </si>
  <si>
    <t>Ա</t>
  </si>
  <si>
    <t>Ձև N 31</t>
  </si>
  <si>
    <t>Յուրաքանչյուր դասընթացի ծավալը (ժամ)</t>
  </si>
  <si>
    <t>Դասընթացի նկարագրությունը</t>
  </si>
  <si>
    <t>դասընթաց 1</t>
  </si>
  <si>
    <t>դասընթաց 2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</si>
  <si>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</si>
  <si>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</si>
  <si>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</si>
  <si>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ՆԱԽԱՀԱՇՎԱՅԻՆ ԳԻՆԸ</t>
  </si>
  <si>
    <t>Պետական մարմնի ստորաբաժանման անվանումը, որի կողմից զբաղեցվում է համապատասխան տարածքը</t>
  </si>
  <si>
    <t xml:space="preserve">Տարածքը զբաղեցնելու իրավական հիմքը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</si>
  <si>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</si>
  <si>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</si>
  <si>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</si>
  <si>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4115</t>
  </si>
  <si>
    <t>- Այլ վարձատրություն</t>
  </si>
  <si>
    <t>Առկա դյուրակիր համակարգիչներ (լափթոփներ, նոութբուքեր). գրպանի ՊԴԱ (PDA) համակարգիչներ և համանման այլ համակարգչային սարքավորումներ), թիվը` ընդամենը</t>
  </si>
  <si>
    <t xml:space="preserve">Առկա համակարգիչների (ներառյալ` սեղանի (ստատիկ) համակարգիչների) թիվը` ընդամենը </t>
  </si>
  <si>
    <t>Մոնիտորներ և պրոյեկտորներ, թիվը` ընդամենը</t>
  </si>
  <si>
    <t>Տպիչ, համակարգչին կամ համակարգչային ցանցին միանալու հնարավորություն ունեցող պատճենահանող և ֆաքսիմիլային սարքեր,  թիվը` ընդամենը</t>
  </si>
  <si>
    <t>Նշված խմբում ընդգրկված այլ համակարգչային սարքեր, թիվը` ընդամենը</t>
  </si>
  <si>
    <t>Դաս</t>
  </si>
  <si>
    <t>Խումբ</t>
  </si>
  <si>
    <t>Տեսակ</t>
  </si>
  <si>
    <t>Օգտակար ծառայության ժամկետ</t>
  </si>
  <si>
    <t>(տարի)</t>
  </si>
  <si>
    <t>Գրասենյակային և տնտեսական գույք և պարագաներ, գործիքներ</t>
  </si>
  <si>
    <t>Համակարգիչներ (ներառյալ` սեղանի (ստատիկ) համակարգիչներ, դյուրակիր համակարգիչներ (լափթոփներ, նոութբուքեր). գրպանի ՊԴԱ (PDA) համակարգիչներ և համանման այլ համակարգչային սարքավորումներ)</t>
  </si>
  <si>
    <t>Համակարգչային սարքավորումներ և տեխնիկա (ներառյալ` մոնիտորներ և պրոյեկտորներ, օգտագործվող բացառապես տվյալների ավտոմատ մշակման համակարգերում, հիշող սարքեր, կիսահաղորդչային հիշող սարքեր, ապահովող տեղեկատվության պահպանումը հոսանքի անջատման դեպքում, տպիչ, համակարգչին կամ համակարգչային ցանցին միանալու հնարավորություն ունեցող պատճենահանող և ֆաքսիմիլային սարքեր` միավորված կամ չմիավորված և այլն)</t>
  </si>
  <si>
    <t>Այլ համակարգչային սարքավորումներ և տեխնիկա</t>
  </si>
  <si>
    <t>Համակարգչային սարքավորումներ/տեխնիկա</t>
  </si>
  <si>
    <t>Գրասենյակային և տնտեսական գույք</t>
  </si>
  <si>
    <t>Գրասենյակային էլեկտրական տեխնիկա (ներառյալ` հեռուստացույցներ, սառնարաններ, խմելու ջրի սարքեր, օդորակիչներ, տաքացուցիչներ, փոշեկուլներ, տեսախցիկներ, ֆոտոխցիկներ, տեղորոշիչ սարքեր (GPS) և այլն), այդ թվում՝</t>
  </si>
  <si>
    <t>Կահույք (ներառյալ` գրասեղաններ, սեղաններ, աթոռներ, բազկաթոռներ, փափուկ կահույք, զգեստապահարաններ, գրապահարաններ, գրադարակներ, չհրկիզվող պահարաններ և այլն), գորգեր, հայելիներ, այդ թվում՝</t>
  </si>
  <si>
    <t xml:space="preserve">Այլ գրասենյակային և տնտեսական գույք </t>
  </si>
  <si>
    <t>Հաշվեկշռային (մնացորդային)  արժեքը /հազ.դրամ/</t>
  </si>
  <si>
    <t>Մաշվածությունը (%)</t>
  </si>
  <si>
    <t>(ՀՀ ֆինանսների նախարարի 2016թ. հունվարի 8-ի «Հանրային հատվածի կազմակերպություններում նոր հիմնական միջոցների և սկզբնական արժեքով հաշվառվող կենսաբանական ակտիվների մաշվածության հաշվարկման նորմատիվային օգտակար ծառայության ժամկետները հաստատելու մասին» N 3-Ն հրաման, Հավելված 1)</t>
  </si>
  <si>
    <t>Առկա սարքավորումներ և գույք</t>
  </si>
  <si>
    <t>Ընդամենը տարեկան աշխատավարձի ֆոնդ (4111)</t>
  </si>
  <si>
    <t>Քննչական կոմիտեի ինքնավար պաշտոն զբաղեցնող անձինք</t>
  </si>
  <si>
    <t>այդ թվում թափուր հաստիքների թիվը</t>
  </si>
  <si>
    <t>2026թ. բյուջետային  հայտ</t>
  </si>
  <si>
    <t>2026թ.</t>
  </si>
  <si>
    <t>Հավելավճարներ/ հավելումներ</t>
  </si>
  <si>
    <t xml:space="preserve">2026թ. </t>
  </si>
  <si>
    <t xml:space="preserve">Ըստ պաշտոնային դրույքաչափի հաշվարկվող տարեկան աշխատավարձի ֆոնդ  </t>
  </si>
  <si>
    <t>Ընդամենը պարգևատրման ֆոնդ` 16 % (4112+4113)</t>
  </si>
  <si>
    <t>Պաշտոն զբաղեցնող անձի տարիքը (ծննդյան տարեթիվ)</t>
  </si>
  <si>
    <t>Տվյալ պաշտոնում աշխատանքային ստաժը /2026թ. հուլիսի 1-ի դրությամբ/  (տարի/ամիս)</t>
  </si>
  <si>
    <t xml:space="preserve">Գործակից /2026թ. հուլիսի 1-ի դրությամբ/  </t>
  </si>
  <si>
    <t>Այլ հավելավճարներ/հավելումներ</t>
  </si>
  <si>
    <r>
      <t>*</t>
    </r>
    <r>
      <rPr>
        <sz val="10"/>
        <color indexed="8"/>
        <rFont val="GHEA Grapalat"/>
        <family val="3"/>
      </rPr>
      <t>Աշխատավարձի հաշվարկման համար բազային աշխատավարձի չափը կազմում է 83,200.0  դրամ:</t>
    </r>
  </si>
  <si>
    <t>Ընդամենը ամսական աշխատա վարձի ֆոնդ  /ս.16+ս.17+ս.18/</t>
  </si>
  <si>
    <t>Ընդամենը ամսական աշխատավարձի ֆոնդ  /ս.9+ս10+ս.11/</t>
  </si>
  <si>
    <t>Ընդամենը ամսական աշխատավարձի ֆոնդ</t>
  </si>
  <si>
    <t xml:space="preserve">Ընդամենը ամսական աշխատավարձի ֆոնդ </t>
  </si>
  <si>
    <t>Ընդամենը ամսական աշխատա վարձի ֆոնդ  /ս.21+ս.22+ս.23/</t>
  </si>
  <si>
    <t>Առկա ավտոմեքենաներ</t>
  </si>
  <si>
    <t>Նամակներ</t>
  </si>
  <si>
    <t>հասարակ</t>
  </si>
  <si>
    <t>ՆԱՄԱԿԱԳՐԱԿԱՆ ԹՂԹԱԿՑՈՒԹՅԱՆ ԱՌԱՔՈՒՄ</t>
  </si>
  <si>
    <t>Առաքանու տեսակը</t>
  </si>
  <si>
    <t>ԱՅԼ ՓՈՍՏԱՅԻՆ ԾԱՌԱՅՈՒԹՅՈՒՆ</t>
  </si>
  <si>
    <t>4.1.</t>
  </si>
  <si>
    <t>Սուրհանդակային</t>
  </si>
  <si>
    <t>/թվարկել այլ պայմանագրային փոստային ծառայությունները/</t>
  </si>
  <si>
    <t>միջքաղաքային և դեպի բջջային ցանց ելից  խոսակցությունների ամսական սահմանաչափ</t>
  </si>
  <si>
    <t>միջազգային ելից հեռախոսային  խոսակցությունների ամսական սահմանաչափ</t>
  </si>
  <si>
    <t>Փոստային կապ</t>
  </si>
  <si>
    <t>Գրասենյակի (գործակալության) ղեկավար</t>
  </si>
  <si>
    <t>Գրասենյակ (գործակալություն)</t>
  </si>
  <si>
    <t>Ընդամենը տարեկան 
 ծախսեր (դրամ)</t>
  </si>
  <si>
    <t xml:space="preserve">ԸՆԴԱՄԵՆԸ </t>
  </si>
  <si>
    <t xml:space="preserve">Ընդամենը առկա ավտոմեքենաների քանակը` </t>
  </si>
  <si>
    <t>ՀՀ հանրային իշխանության մարմինների տեխնիկայի միջոցների և գրասենյակային գույքի վերաբերյալ</t>
  </si>
  <si>
    <t>Հանրային իշխանության մարմնի կողմից զբաղեցված տարածքների</t>
  </si>
  <si>
    <t>ՀՀ հանրային իշխանության մարմնի կողմից զբաղեցված շինությունների/տարածքների ընթացիկ նորոգման աշխատանքներ</t>
  </si>
  <si>
    <t xml:space="preserve"> քաղաքացիական (պետական և այլ) ծառայողների մասնագիտական վերապատրաստումների գծով ծախսերի</t>
  </si>
  <si>
    <t>ՀՀ հանրային իշխանության մարմնի կառուցվածքի և աշխատողների թվի վերաբերյալ</t>
  </si>
  <si>
    <t>ՀՀ ֆինանսների նախարարի 08.01.2016թ. N 3-Ն հրամանի համաձայն մարդատար ավտոմեքենաների նորմատիվային օգտակար ծառայության ժամկետը սահմանված է 10 տարի</t>
  </si>
  <si>
    <t>Ընդամենը տարեկան 
 ծախսեր (դրամ) 
(ս.6 * ս.7)</t>
  </si>
  <si>
    <t>Ընդամենը տարեկան 
 ծախսեր (դրամ) 
(ս.9 * ս.10)</t>
  </si>
  <si>
    <t>Տարբերության հիմնավորումներ</t>
  </si>
  <si>
    <t xml:space="preserve">Սեփականության կամ անհատույց օգտագործման իրավունքով զբաղեցրած տարածքների մակերեսը </t>
  </si>
  <si>
    <r>
      <t>1մ</t>
    </r>
    <r>
      <rPr>
        <u val="single"/>
        <vertAlign val="superscript"/>
        <sz val="12"/>
        <rFont val="GHEA Grapalat"/>
        <family val="3"/>
      </rPr>
      <t>2</t>
    </r>
    <r>
      <rPr>
        <u val="single"/>
        <sz val="12"/>
        <rFont val="GHEA Grapalat"/>
        <family val="3"/>
      </rPr>
      <t>-ին՝ 800 դրամ սկզբունքով</t>
    </r>
  </si>
  <si>
    <t>Նամականիշներ</t>
  </si>
  <si>
    <t>մեկ առաքանու/ նամականիշի 
միջին սակագիը (ս.5 / ս.3)</t>
  </si>
  <si>
    <t xml:space="preserve">մեկ առաքանու/ նամականիշի 
միջին սակագիը </t>
  </si>
  <si>
    <t xml:space="preserve"> քանակը</t>
  </si>
  <si>
    <t xml:space="preserve">մեկ առաքանու/ նամականիշի  
միջին սակագիը </t>
  </si>
  <si>
    <t>Հայփոստ ՓԲԸ-ի կողմից մատուցվող փոստային կապի ունիվերսալ ծառայությունների սակագները հաստատվել են ՀԾԿՀ-ի 27.04.2022թ. N 165-Ն որոշմամբ (ուժի մեջ է 27.05.2022թ.)</t>
  </si>
  <si>
    <t>Պաշտոն զբաղեցնող անձի սեռը  (արական/ իգական)</t>
  </si>
  <si>
    <t>Միավորի գինը /դրամ/</t>
  </si>
  <si>
    <t xml:space="preserve">Ընդհանուր գումարը /հազ.դրամ/            </t>
  </si>
  <si>
    <t>Ձև N 4</t>
  </si>
  <si>
    <t>Նշել մարմնի կանոնադրությունը և  կառուցվածքը  հաստատելու մասին համապատասխան իրավական ակտի համարը և ընդունման ամսաթիվը</t>
  </si>
  <si>
    <t>2023թ.  փաստացի  կատարողական</t>
  </si>
  <si>
    <t xml:space="preserve"> 2024թ. հաստատված բյուջե</t>
  </si>
  <si>
    <t>2027թ. բյուջետային  հայտ</t>
  </si>
  <si>
    <t>2027թ.</t>
  </si>
  <si>
    <t>հայտի տարբերությունը 2024թ. հաստատվածի նկատմամբ</t>
  </si>
  <si>
    <t>հայտի տարբերությունը 2023թ. փաստացի կատարողականի նկատմամբ</t>
  </si>
  <si>
    <t>Տնտեսագիտական դասակարգման հոդվածների գծով 2025թ. ընթացքում նախատեսվող ծախսերը՝ ըստ ապրանքների և ծառայությունների տեսակների</t>
  </si>
  <si>
    <t>2024թ. հաստատված</t>
  </si>
  <si>
    <t>2025թ. բյուջետային հայտ</t>
  </si>
  <si>
    <t>2025թ. բյուջետային հայտի և  2024թ. հաստատվածի տարբերությունը</t>
  </si>
  <si>
    <t>ՀՀ  հանրային իշխանության  մարմինների 2025 թվականի էլեկտրաէներգիայի ծախսերի /բացառությամբ ջեռուցման/</t>
  </si>
  <si>
    <t>ՀՀ  հանրային իշխանության մարմինների վարչական շենքերի և շինությունների 2025 թվականի ջեռուցման համար անհրաժեշտ էլեկտրաէներգիայի ծախսերի</t>
  </si>
  <si>
    <t>2023թ. փաստացի</t>
  </si>
  <si>
    <t xml:space="preserve"> 2024թ. ընթացքում գնման ենթակա </t>
  </si>
  <si>
    <t xml:space="preserve">2027թ. </t>
  </si>
  <si>
    <t>Տվյալ պաշտոնում աշխատանքային ստաժը /2027թ. հուլիսի 1-ի դրությամբ/  (տարի/ամիս)</t>
  </si>
  <si>
    <t xml:space="preserve">Գործակից /2027թ. հուլիսի 1-ի դրությամբ/  </t>
  </si>
  <si>
    <t>4211</t>
  </si>
  <si>
    <t>- Գործառնական և բանկային ծառայությունների ծախսեր</t>
  </si>
  <si>
    <t>4819</t>
  </si>
  <si>
    <t>Նվիրատվություններ այլ շահույթ չհետապնդող կազմակերպություններին</t>
  </si>
  <si>
    <t>ՀՀ  հանրային իշխանության մարմինների 2025 թվականի փոստային կապի ծառայությունների ծախսի</t>
  </si>
  <si>
    <t xml:space="preserve">2023թ. փաստացի </t>
  </si>
  <si>
    <t>2024թ. պլանավորված</t>
  </si>
  <si>
    <t>2025թ. հայտ</t>
  </si>
  <si>
    <t xml:space="preserve"> 2025թ. հայտի և 2024թ. պլանավորվածի տարբերությունը</t>
  </si>
  <si>
    <t>4221</t>
  </si>
  <si>
    <t xml:space="preserve">Ծառայողական գործուղումների գծով ծախսերի հաշվարկման վերաբերյալ </t>
  </si>
  <si>
    <t xml:space="preserve">Ծախսերի տարբերու թյունը (2025թ.-2024թ.)            </t>
  </si>
  <si>
    <t>Ընդամենը (4221 հոդված)</t>
  </si>
  <si>
    <t>Ընդամենը (4222 հոդված)</t>
  </si>
  <si>
    <t>Միջքաղաքային, բջջային, միջազգային խոսակցությունների վճար</t>
  </si>
  <si>
    <t>Ղեկավարի տեղակալ (հանձնաժողովի, խորհրդի
անդամներ)</t>
  </si>
  <si>
    <t>Գլխավոր քարտուղար
(աշխատակազմի ղեկավար)</t>
  </si>
  <si>
    <t>Գլխավոր քարտուղարի տեղակալ (աշխատակազմի
ղեկավարի տեղակալ)</t>
  </si>
  <si>
    <t>Տարածքային մարմնի
(ստորաբաժանման) ղեկավար</t>
  </si>
  <si>
    <t>Տարածքային մարմին
(ստորաբաժանում)</t>
  </si>
  <si>
    <t>Փաստաթղթաշրջանառությունն
ապահովող ստորաբաժանում</t>
  </si>
  <si>
    <t>Հիմնական և աջակցող մասնագիտական ստորաբաժանումների քանակը (վարչություն, բաժին), առանց Միջազգային համագործակցության և Փաստաթղթաշրջանառության ստորաբաժանումների</t>
  </si>
  <si>
    <t>(ս.6 x բաժանորդային վարձ) դրամ</t>
  </si>
  <si>
    <t>(ս.4 x բաժանորդային վարձ) դրամ</t>
  </si>
  <si>
    <t>Միջազգային համագործակցություն իրականացնող վարչություն
(բաժին)</t>
  </si>
  <si>
    <t>Բ</t>
  </si>
  <si>
    <r>
      <t xml:space="preserve">ԸՆԴԱՄԵՆԸ 
Միջքաղաքային, բջջային, միջազգային խոսակցությունների վճար (ներառյալ </t>
    </r>
    <r>
      <rPr>
        <i/>
        <sz val="10"/>
        <rFont val="GHEA Grapalat"/>
        <family val="3"/>
      </rPr>
      <t>ԱԱՀ)</t>
    </r>
  </si>
  <si>
    <t>Ընդամենը տարեկան 
(դրամ)</t>
  </si>
  <si>
    <t>Ընդամենը տարեկան (ներառյալ ԱԱՀ)</t>
  </si>
  <si>
    <t>հեռախոսագծերի քանակը</t>
  </si>
  <si>
    <t xml:space="preserve">այդ թվում՝ </t>
  </si>
  <si>
    <t xml:space="preserve">Ընդամենը աշխատողների թվաքանակը, այդ թվում՝ </t>
  </si>
  <si>
    <t>Տեխնիկական սպասարկում իրականացնողների քանակը</t>
  </si>
  <si>
    <t>Ընդամենը՝ տարեկան բաժանորդային վարձ (դրամ, ներառյալ ԱԱՀ)</t>
  </si>
  <si>
    <t>Գ</t>
  </si>
  <si>
    <t>Դ</t>
  </si>
  <si>
    <t>Տեղական ելից զանգեր 
(ամսական 1000-ական դրամ` ցանցի ներսում և դեպի այլ օպերատորներ)</t>
  </si>
  <si>
    <t>Կապի այլ պայմանագրային ծառայություններ (դրամ)</t>
  </si>
  <si>
    <t>Միջքաղաքային, բջջային, միջազգային խոսակցությունների վճար 
(դրամ)</t>
  </si>
  <si>
    <t>Աշխատակիցների յուրաքանչյուր 4 միավորի համար մեկական հեռախոսագիծ (բացառությամբ տեխնիկական սպասարկողների)</t>
  </si>
  <si>
    <t>Բաժանորդային վարձի սակագինը ըստ կապի օպերատորի հետ կնքված պայմանագրի 
(ՀՀ դրամով` առանց ԱԱՀ-ի)</t>
  </si>
  <si>
    <t>Ընդամենը հիմնական և աջակցող մասնագիտական ստորաբաժանումների ղեկավարներ (վարչության պետ, բաժնի պետ), այդ թվում՝
(տող 13=տողեր 14+15+16)</t>
  </si>
  <si>
    <t>Տեխնիկական սպասարկում իրականացնող անձնակազմի համար</t>
  </si>
  <si>
    <t>հաշվարկների համար հիմք է ընդունվում ՀՀ կառավարության 30.12.2004թ. N 1956-Ն որոշմամբ հաստատված նորմերը</t>
  </si>
  <si>
    <t>ՀՀ հանրային իշխանության մարմինների 2025 թվականի կապի ծառայությունների ձեռքբերման ծախսերի</t>
  </si>
  <si>
    <t>Արտասահմանյան գործուղումների գծով ծախսեր (ըստ երկրների)</t>
  </si>
  <si>
    <t>Այլ հավելավճարներ (առանձնակի ռիսկային)</t>
  </si>
  <si>
    <t xml:space="preserve">օգտակար ծառայության մնացորդային ժամկետը (տարի) </t>
  </si>
  <si>
    <t>այդ թվում՝ ընդամենը օգտակար ծառայության ժամկետում գտնվող գույքի քանակը</t>
  </si>
  <si>
    <t>Ընդամենը տրանսպորտային նյութեր
4264 հոդված 
(հազար դրամ)</t>
  </si>
  <si>
    <t>Ընթացիկ նորոգման ծառայությունների ձեռքբերում 
4252 հոդված 
(հազար դրամ)</t>
  </si>
  <si>
    <t>Ընդամենը տեխզննության և բնապահպանական վճարներ 
4823 հոդված
(հազար դրամ)</t>
  </si>
  <si>
    <t xml:space="preserve"> 2024թ. ընթացքում ձեռք բերվող/հատկացվող ավտոմեքենաները</t>
  </si>
  <si>
    <t>Այլ տրանսպորտային միջոցներ</t>
  </si>
  <si>
    <t>մակնիշը</t>
  </si>
  <si>
    <t xml:space="preserve">շարժիչի վառելանյութի տեսակը
(ընտրել ցանկից) </t>
  </si>
  <si>
    <t>արտադրության տարեթիվը
(ընտրել ցանկից)</t>
  </si>
  <si>
    <t>թափքի տեսակը</t>
  </si>
  <si>
    <t>շարժիչի ծավալը 
(լիտր)</t>
  </si>
  <si>
    <t xml:space="preserve">շարժիչի վառելանյութի տեսակը </t>
  </si>
  <si>
    <t>ղեկավարի պաշտոնը կամ ստորաբաժանման անվանումը, որին սպասարկում է տվյալ ավտոմեքենան</t>
  </si>
  <si>
    <t>Ընդամենը պահպանման ծախսեր 
(հազար դրամ)</t>
  </si>
  <si>
    <t>1. ծառայողական/սպասարկող</t>
  </si>
  <si>
    <t xml:space="preserve">գ) աշխատակիցներին սպասարկող (յուրաքանչյուր 100 աշխատողին՝ մեկ ավտոմեքենա հաշվարկով) </t>
  </si>
  <si>
    <t>2. գործառնական և հատուկ նշանակության ավտոմեքենաներ, որոնց սահմանաքանակը հաստատվում է ՀՀ կառավարության որոշմամբ: Ընդ որում, այս խմբում ներառվում են նաև օրենքով սահմանված դեպքերում օպերատիվ-հետախուզական գործունեության իրականացման նպատակով շահագործվող մեքենաները:</t>
  </si>
  <si>
    <r>
      <rPr>
        <b/>
        <i/>
        <vertAlign val="superscript"/>
        <sz val="10"/>
        <rFont val="GHEA Grapalat"/>
        <family val="3"/>
      </rPr>
      <t>1</t>
    </r>
    <r>
      <rPr>
        <b/>
        <i/>
        <sz val="10"/>
        <rFont val="GHEA Grapalat"/>
        <family val="3"/>
      </rPr>
      <t>Ղեկավարին սպասարկող ծառայողական ավտոմեքենաները</t>
    </r>
  </si>
  <si>
    <r>
      <rPr>
        <b/>
        <i/>
        <vertAlign val="superscript"/>
        <sz val="10"/>
        <rFont val="GHEA Grapalat"/>
        <family val="3"/>
      </rPr>
      <t>2</t>
    </r>
    <r>
      <rPr>
        <b/>
        <i/>
        <sz val="10"/>
        <rFont val="GHEA Grapalat"/>
        <family val="3"/>
      </rPr>
      <t>Մարմնին սպասարկող ավտոմեքենաներ, այդ թվում՝ ըստ ստորաբաժանումների</t>
    </r>
  </si>
  <si>
    <r>
      <rPr>
        <b/>
        <i/>
        <vertAlign val="superscript"/>
        <sz val="10"/>
        <rFont val="GHEA Grapalat"/>
        <family val="3"/>
      </rPr>
      <t>3</t>
    </r>
    <r>
      <rPr>
        <b/>
        <i/>
        <sz val="10"/>
        <rFont val="GHEA Grapalat"/>
        <family val="3"/>
      </rPr>
      <t>Գործառնական և հատուկ նշանակության ավտոմեքենաներ, այդ թվում՝ ըստ ստորաբաժանումների</t>
    </r>
  </si>
  <si>
    <t>N 1666-Ն որոշմամբ սահմանված Կարգի համաձայն՝ ղեկավարին սպասարկող և մարմնին սպասարկող տարբերանշանով ավտոմեքենաների քանակը որոշվում է Կարգի 17-րդ կետին համապատասխան, իսկ գործառնական և հատուկ նշանակության ավտոմեքենաների սահամանաքանկը հաստատվում է ՀՀ կառավարության որոշմամբ:</t>
  </si>
  <si>
    <t>բենզին</t>
  </si>
  <si>
    <t>գազ</t>
  </si>
  <si>
    <t>դիզել</t>
  </si>
  <si>
    <t>էլեկտրական</t>
  </si>
  <si>
    <t>հիբրիդ</t>
  </si>
  <si>
    <t>Ավտոմեքենայի թափքի տեսակը</t>
  </si>
  <si>
    <t>Շարժիչի ծավալը</t>
  </si>
  <si>
    <t>հատուկ միջոցներով կահավորանքի պահանջ</t>
  </si>
  <si>
    <t xml:space="preserve">սեդան </t>
  </si>
  <si>
    <t>մինչև 1,8</t>
  </si>
  <si>
    <t>առկա չէ</t>
  </si>
  <si>
    <t>ունիվերսալ</t>
  </si>
  <si>
    <t>1,9-ից մինչև 2,2</t>
  </si>
  <si>
    <t>առկա է</t>
  </si>
  <si>
    <t>ամենագնաց</t>
  </si>
  <si>
    <t>2,3-ից մինչև 3,5</t>
  </si>
  <si>
    <t>միկրոավտոբուս</t>
  </si>
  <si>
    <t>3,6-ից մինչև 6,0</t>
  </si>
  <si>
    <t>ավտոբուս</t>
  </si>
  <si>
    <t>6,1-ից ավելի</t>
  </si>
  <si>
    <t>հատուկ միջոցներով կահավորանքի առկայություն</t>
  </si>
  <si>
    <t>գնման գինը   
(հազ դրամ)</t>
  </si>
  <si>
    <t xml:space="preserve">բ) որոշմամբ նախատեսված դեպքերում՝ ղեկավարի տեղակալների թվի հաշվարկով </t>
  </si>
  <si>
    <t>ա) ղեկավարին սպասարկող</t>
  </si>
  <si>
    <t>ենթակա է հետագա շահագործման</t>
  </si>
  <si>
    <t>հատկացնել նոր ավտոմեքենա՝ Կարգի 8-րդ կետի հիմքով</t>
  </si>
  <si>
    <r>
      <t>Առաջարկություն՝ ավտոմեքենայի հետագա շահագործման նպատակահարմարության վերաբերյալ</t>
    </r>
    <r>
      <rPr>
        <sz val="9"/>
        <rFont val="GHEA Grapalat"/>
        <family val="3"/>
      </rPr>
      <t xml:space="preserve">
(ընտրել ցանկից)</t>
    </r>
  </si>
  <si>
    <t>Առաջարկություն՝ ավտոմեքենայի հետագա շահագործման, նոր ավտոմեքենա հատկացնելու և փոխհատուցում տրամադրելու վերաբերյալ</t>
  </si>
  <si>
    <t>մեքենան հանձնել Կոմիտեին</t>
  </si>
  <si>
    <t xml:space="preserve">տրամադրել ծախսերի փոխհատուցում և մեքենան հանձնել Կոմիտեին </t>
  </si>
  <si>
    <t xml:space="preserve">ՀԱՅՏ
2025թ. տրանսպորտային միջոցների պահպանման ծախսերը, 
այդ թվում՝ </t>
  </si>
  <si>
    <t xml:space="preserve"> ՀԱՅՏ
2025թ. ընթացքում ձեռք բերվող/հատկացվող ավտոմեքենաների պահանջը</t>
  </si>
  <si>
    <t>Ծանոթություն
(ներկայացնել հիմնավորումներ նոր ավտոմեքենայի պահանջի վերաբերյալ)</t>
  </si>
  <si>
    <t>Մեկ դասաժամի արժեքը                                        (դրամ)</t>
  </si>
  <si>
    <t>Ընդամենը 
(հազար դրամ)</t>
  </si>
  <si>
    <t>գրանցված</t>
  </si>
  <si>
    <t>Ընդամենը հեռախոսագծերի քանակը 
(ՀՀ կառավարության 30.12.2004թ. N 1956-Ն որոշում, կետ 5.3)</t>
  </si>
  <si>
    <t>Ձևաչափը մշակվել է ՀՀ կառավարության 30.12.2004թ. N 1956-Ն որոշման հիման վրա: 
Որոշման 5.2 կետում նշված մարմինները կարող են օգտվել սույն ձևաչափից՝ ներքին իրավական ակտերով սահմանված նորմերով:</t>
  </si>
  <si>
    <t>հաստիքների քանակը</t>
  </si>
  <si>
    <r>
      <t>Ա բաժնի 1-ից 9-ը և 12 տողերում թվարկված հաստիքներ զբաղեցնողների համար առանփնացված հեռախոսագծերի քանակը</t>
    </r>
    <r>
      <rPr>
        <vertAlign val="superscript"/>
        <sz val="9"/>
        <rFont val="GHEA Grapalat"/>
        <family val="3"/>
      </rPr>
      <t>1</t>
    </r>
  </si>
  <si>
    <t>ղեկավարի համար 1-ից ավելի հեռախոսագծերի առկայության դեպքում լրացուցիչ հեռախոսագծերի քանակն ավելացնել D36 սյունակի բանաձևում</t>
  </si>
  <si>
    <r>
      <t>ընդամենը քանակը</t>
    </r>
    <r>
      <rPr>
        <vertAlign val="superscript"/>
        <sz val="9"/>
        <rFont val="GHEA Grapalat"/>
        <family val="3"/>
      </rPr>
      <t>2</t>
    </r>
  </si>
  <si>
    <t>D34 սյունակի ցուցանիշը պետք է հավասար լինի տարբեր օպերատորների կողմից տրամադրված հեռախոսագծերի քանակների գումարին՝ =E34+G34</t>
  </si>
  <si>
    <t xml:space="preserve">ամսական բաժանորդային վարձի սակագինը, առանց ԱԱՀ (Օպերատոր 1) </t>
  </si>
  <si>
    <t xml:space="preserve">ամսական բաժանորդային վարձի սակագինը, առանց ԱԱՀ (Օպերատոր 2) </t>
  </si>
  <si>
    <t>Էներգետիկ ծառայությունների գծով ծախսերի հաշվարկման ձևերը լրացվում են`</t>
  </si>
  <si>
    <t xml:space="preserve">ՀՀ հանրային իշխանության մարմինների ավտոմեքենաների վերաբերյալ   </t>
  </si>
  <si>
    <t>Ընդամենը ավտոմեքենաների սահմանաքանակը*</t>
  </si>
  <si>
    <t xml:space="preserve">Լրացնել ընդամենը ավտոմեքենաների սահմանաքանակը, որը հաշվարկվում է ՀՀ  կառավարության 28.09.2023թ. N 1666-Ն որոշմամբ հաստատված կարգավորումներով, ներառյալ՝ </t>
  </si>
  <si>
    <t>Փոստային կապի ծառայություն</t>
  </si>
  <si>
    <t>Ընդհանուր օգտագործման քաղաքային հեռախոս</t>
  </si>
  <si>
    <t>Միջքաղաքային հեռախոսային կապ</t>
  </si>
  <si>
    <t>Ծառայողական ավտոմեքենաների ապահովագություն</t>
  </si>
  <si>
    <t>հակավիրուսային համակարգչային ծրագրային փաթեթներ</t>
  </si>
  <si>
    <t>Համացանցային էջի ձևավորման  ծառայություններ</t>
  </si>
  <si>
    <t>Mulberri համակարգի սպասարկում</t>
  </si>
  <si>
    <t>ՀԾ-7 հաշվապահական համակարգի սպասարկում</t>
  </si>
  <si>
    <t xml:space="preserve"> ծրագրային ապահովման սպասարկման ծառայություններ</t>
  </si>
  <si>
    <t>Աշխատակազմի մասնագիտ զարգ ծառայություններ</t>
  </si>
  <si>
    <t>Մասնագիտական վերապատրաստումներ</t>
  </si>
  <si>
    <t>Մրցութային և տեղեկատվական գովազդների հրապարակում</t>
  </si>
  <si>
    <t>Ներքին աուդիտի ծառայություններ</t>
  </si>
  <si>
    <t>Ներկայացուցչական ծախսեր</t>
  </si>
  <si>
    <t>Ներկայացուցչական  ծառայություններ</t>
  </si>
  <si>
    <t>Համակաչգչային համակարգերի տեխ. սպասարկում</t>
  </si>
  <si>
    <t>Արխիվացման աշխատանքներ</t>
  </si>
  <si>
    <t>Շենքերի  ընթացիկ նորոգում և պահպանում</t>
  </si>
  <si>
    <t>Թուղթ օվսեթ</t>
  </si>
  <si>
    <t>Արագակար</t>
  </si>
  <si>
    <t xml:space="preserve">Սեղմակ </t>
  </si>
  <si>
    <t>Ամրակ</t>
  </si>
  <si>
    <t>Կարիչ</t>
  </si>
  <si>
    <t>Հաշվեսարք</t>
  </si>
  <si>
    <t>Գրիչ</t>
  </si>
  <si>
    <t>Թուղթ նշումների սոսնձվող</t>
  </si>
  <si>
    <t>Սոսինձ</t>
  </si>
  <si>
    <t>Ապակարիչ</t>
  </si>
  <si>
    <t>Տոներային քաթրիջներ</t>
  </si>
  <si>
    <t>Թղթապանակ պոլիմերային թաղանթ, ֆայլ</t>
  </si>
  <si>
    <t>Նոթատետրեր</t>
  </si>
  <si>
    <t>Flash USB</t>
  </si>
  <si>
    <t>Տոներ լազերային</t>
  </si>
  <si>
    <t>Մկրատ գրասենյակային</t>
  </si>
  <si>
    <t>Մատիտներ</t>
  </si>
  <si>
    <t>Թուղթ նշումների տրցակով</t>
  </si>
  <si>
    <t>Կարիչի մետաղալարե կապեր,միջին</t>
  </si>
  <si>
    <t>Շտրիխներ</t>
  </si>
  <si>
    <t>Թանաք կնիքի բարձիկի համար</t>
  </si>
  <si>
    <t>Գծանշիչ</t>
  </si>
  <si>
    <t>Բենզին</t>
  </si>
  <si>
    <t>Կենցաղային և հանրային սննդի նյութեր</t>
  </si>
  <si>
    <t>Օճառ տնտեսական</t>
  </si>
  <si>
    <t>Ավել</t>
  </si>
  <si>
    <t>Լվացող նյութեր</t>
  </si>
  <si>
    <t>Մաստիկա</t>
  </si>
  <si>
    <t>Էլեկտրական լամպ 60վ,80վ,100վ</t>
  </si>
  <si>
    <t>Ցերեկային լամպ 120սմ</t>
  </si>
  <si>
    <t>Զուգարանի թուղթ</t>
  </si>
  <si>
    <t>Վարդակ երկբևեռանի</t>
  </si>
  <si>
    <t>Մեկուսիչ ժապավեն</t>
  </si>
  <si>
    <t>Օճառ հեղուկ</t>
  </si>
  <si>
    <t>Վարչական սարքավորումներ</t>
  </si>
  <si>
    <t xml:space="preserve">Համակարգիչ </t>
  </si>
  <si>
    <t>Սկաներ</t>
  </si>
  <si>
    <t>Բազմաֆունկցիոնալ տպիչ սարք լազերային</t>
  </si>
  <si>
    <t>Աթոռներ</t>
  </si>
  <si>
    <t>Գրասեղան 1 տումբանի</t>
  </si>
  <si>
    <t>Գրապահարան</t>
  </si>
  <si>
    <t>պատվիրված</t>
  </si>
  <si>
    <t>ԾՐԱՐՆԵՐ</t>
  </si>
  <si>
    <t>ԱԲՈՎՅԱՆ</t>
  </si>
  <si>
    <t>ԵՂՎԱՐԴ</t>
  </si>
  <si>
    <t>Երևան</t>
  </si>
  <si>
    <t>վերապ. սեմինար, այլ</t>
  </si>
  <si>
    <t>Աբովյան</t>
  </si>
  <si>
    <t>վարչ. Հսկ. Այցեր,  այլ</t>
  </si>
  <si>
    <t>Եղվարդ</t>
  </si>
  <si>
    <t>Նոր Հաճըն</t>
  </si>
  <si>
    <t>Ջրվեժ</t>
  </si>
  <si>
    <t>Բյուրեղավան</t>
  </si>
  <si>
    <t>Ակունք</t>
  </si>
  <si>
    <t>Չարենցավան</t>
  </si>
  <si>
    <t>այցեր, դիտարկում, այլ</t>
  </si>
  <si>
    <t xml:space="preserve">Արզնի </t>
  </si>
  <si>
    <t>Հրազդան</t>
  </si>
  <si>
    <t>Ծաղկաձոր</t>
  </si>
  <si>
    <t>Գառնի</t>
  </si>
  <si>
    <t>Ռուսաստանի Դաշնություն</t>
  </si>
  <si>
    <t>այց</t>
  </si>
  <si>
    <t>Մարզպետ</t>
  </si>
  <si>
    <t>ՏՈՅՈՏԱ Պրադո</t>
  </si>
  <si>
    <t>Քաղաքաշինության և հողաշինության վարչություն</t>
  </si>
  <si>
    <t>Առողջապահության վարչություն</t>
  </si>
  <si>
    <t>Տարածքային կառավարման և ՏԻ վարչություն</t>
  </si>
  <si>
    <t>ՏՈՅՈՏԱ Քեմրի</t>
  </si>
  <si>
    <t>ՀՈՒՆԴԱԻ Սոնատա</t>
  </si>
  <si>
    <t>օգտակար ծառայության ժամկետը լրացել է, հետագա շահագործումը համարվում է ոչ արդյունավետ</t>
  </si>
  <si>
    <t xml:space="preserve"> համակարգիչ սեղանի</t>
  </si>
  <si>
    <t>հատ</t>
  </si>
  <si>
    <t>Տպիչ</t>
  </si>
  <si>
    <t xml:space="preserve"> պատճենահանող սարք</t>
  </si>
  <si>
    <t>Գրասենյակային  նյութեր և հագուստ</t>
  </si>
  <si>
    <t>Կուտակիչային մարտկոց</t>
  </si>
  <si>
    <t>Անվադող</t>
  </si>
  <si>
    <t>Տրանսպորտային սարքավորումներ</t>
  </si>
  <si>
    <t>դյուրակիր համակարգիչ/ նոութբուք/</t>
  </si>
  <si>
    <t>Բազմաֆունկցիոնալ տպիչ սարք</t>
  </si>
  <si>
    <t>Աթոռ</t>
  </si>
  <si>
    <t>Գրասեղան</t>
  </si>
  <si>
    <t>Գրասեղան ղեկավարի</t>
  </si>
  <si>
    <t>Կահույքի կոմպլեկտ</t>
  </si>
  <si>
    <t>Բազկաթոռ ղեկավարի</t>
  </si>
  <si>
    <t>Փափուկ կահույքի կոմպլեկտ կաշվե</t>
  </si>
  <si>
    <t>Գորգ</t>
  </si>
  <si>
    <t>Կախիչ հայելիով</t>
  </si>
  <si>
    <t>Բազկաթոռ Կաշվե</t>
  </si>
  <si>
    <t>ՀՀ Կոտայքի մարզպետի աշխատակազմ</t>
  </si>
  <si>
    <t>ՀՀ Կոտայքի մարզպետարանի Աբովյանի ներկայացուցչություն</t>
  </si>
  <si>
    <t>ք. Աբովյան Բարեկամության 2</t>
  </si>
  <si>
    <t>վկ. 1540573</t>
  </si>
  <si>
    <t>ՀՀ Կոտայքի մարզպետարանի Եղվարդի ներկայացուցչություն</t>
  </si>
  <si>
    <t>ք. Եղվարդ</t>
  </si>
  <si>
    <t>ՀՀ Կոտայքի մարզպետարան</t>
  </si>
  <si>
    <t>ք. Հրազդան Կենտրոն թաղամաս</t>
  </si>
  <si>
    <t>Պայմանագիր Վ 02</t>
  </si>
  <si>
    <t>Հրազդանի համայնքապետարան</t>
  </si>
  <si>
    <t>ք Հրազդան Կենտրոն թաղամաս</t>
  </si>
  <si>
    <t>Քաղաքաշինության, հողաշինության և ենթակառուցվածքների կառավարման վարչություն</t>
  </si>
  <si>
    <t xml:space="preserve">Առողջապահության և սոցիալական ոլորտի հարցերի վարչություն </t>
  </si>
  <si>
    <t>Տարածքային կառավարման և տեղական ինքնակառավարման հարցերի վարչություն</t>
  </si>
  <si>
    <t>Կրթության, մշակույթի և սպորտի վարչություն</t>
  </si>
  <si>
    <t>Գյուղատնտեսության և շրջակա միջավայրի պահպանության վարչություն</t>
  </si>
  <si>
    <t>Զարգացման ծրագրերի մշակման և իրականացման բաժին</t>
  </si>
  <si>
    <t>Զորահավաքային նախապատրաստության բաժին</t>
  </si>
  <si>
    <t>Ֆինանսական վարչություն</t>
  </si>
  <si>
    <t>Իրավաբանական բաժին</t>
  </si>
  <si>
    <t>Անձնակազմի կառավ. փաստաթղթաշրջ. և հասարակության հետ կապերի վարչություն</t>
  </si>
  <si>
    <t>Ծառայողական ավտոմեքենա Ամենագնաց</t>
  </si>
  <si>
    <t>Ծառայողական ավտոմեքենա  Սեդան</t>
  </si>
  <si>
    <t xml:space="preserve"> </t>
  </si>
  <si>
    <t>1037</t>
  </si>
  <si>
    <t>Սահակյան Ահարոն</t>
  </si>
  <si>
    <t>արական</t>
  </si>
  <si>
    <t>մարզպետ</t>
  </si>
  <si>
    <t>4տ/1ա</t>
  </si>
  <si>
    <t>3տ/1ա</t>
  </si>
  <si>
    <t>5տ/1ա</t>
  </si>
  <si>
    <t>6տ/1ա</t>
  </si>
  <si>
    <t>Վարդանյան Վասակ</t>
  </si>
  <si>
    <t>մարզպետի տեղակալ</t>
  </si>
  <si>
    <t>6տ/0ա</t>
  </si>
  <si>
    <t>5տ/0ա</t>
  </si>
  <si>
    <t>7տ/0ա</t>
  </si>
  <si>
    <t>8տ/0ա</t>
  </si>
  <si>
    <t>Մկրտչյան Հայկ</t>
  </si>
  <si>
    <t>3տ/6ա</t>
  </si>
  <si>
    <t>2տ/6ա</t>
  </si>
  <si>
    <t>4տ/6ա</t>
  </si>
  <si>
    <t>5տ/6ա</t>
  </si>
  <si>
    <t>Մհեր Գևորգյան</t>
  </si>
  <si>
    <t>մարզպետի խորհրդական</t>
  </si>
  <si>
    <t>Հայկ Ալեքսանյան</t>
  </si>
  <si>
    <t>3տ/4ա</t>
  </si>
  <si>
    <t>2տ/4ա</t>
  </si>
  <si>
    <t>4տ/4ա</t>
  </si>
  <si>
    <t>5տ/4ա</t>
  </si>
  <si>
    <t>Ստեփան Բաղդասարյան</t>
  </si>
  <si>
    <t>Մերի Հովհաննիսյան</t>
  </si>
  <si>
    <t>իգական</t>
  </si>
  <si>
    <t>մարզպետի օգնական</t>
  </si>
  <si>
    <t>Մերի Սուքիասյան</t>
  </si>
  <si>
    <t>3տ/5ա</t>
  </si>
  <si>
    <t>2տ/5ա</t>
  </si>
  <si>
    <t>4տ/5ա</t>
  </si>
  <si>
    <t>5տ/5ա</t>
  </si>
  <si>
    <t xml:space="preserve">Վահե Ներսիսյան </t>
  </si>
  <si>
    <t>մարզպետի տեղակալի օգնական</t>
  </si>
  <si>
    <t>2տ/2ա</t>
  </si>
  <si>
    <t>1տ/2ա</t>
  </si>
  <si>
    <t>3տ/2ա</t>
  </si>
  <si>
    <t>4տ/2ա</t>
  </si>
  <si>
    <t>Թափուր</t>
  </si>
  <si>
    <t>Քաղաքացիական /պետական/ ծառայողներ **</t>
  </si>
  <si>
    <t xml:space="preserve">Լևոն Պետրոսյան </t>
  </si>
  <si>
    <t xml:space="preserve">գլխավոր քարտուղար </t>
  </si>
  <si>
    <t>96-Ղ2-1</t>
  </si>
  <si>
    <t>9տ/7ա</t>
  </si>
  <si>
    <t>8տ/7ա</t>
  </si>
  <si>
    <t>10տ/7ա</t>
  </si>
  <si>
    <t>11տ/7ա</t>
  </si>
  <si>
    <t xml:space="preserve">Հրաչյա Վարդանյան </t>
  </si>
  <si>
    <t>պետ</t>
  </si>
  <si>
    <t>96-30.1-Ղ4-1</t>
  </si>
  <si>
    <t xml:space="preserve">3տ/0ա
</t>
  </si>
  <si>
    <t xml:space="preserve">2տ/0ա
</t>
  </si>
  <si>
    <t xml:space="preserve">4տ/0ա
</t>
  </si>
  <si>
    <t xml:space="preserve">5տ/0ա
</t>
  </si>
  <si>
    <t xml:space="preserve">Ալեքսան Եղիշյան </t>
  </si>
  <si>
    <t>գլխավոր մասնագետ</t>
  </si>
  <si>
    <t>96-30.1-Մ2-1</t>
  </si>
  <si>
    <t>11տ/1ա</t>
  </si>
  <si>
    <t>10տ/1ա</t>
  </si>
  <si>
    <t>12տ/1ա</t>
  </si>
  <si>
    <t>13տ/1ա</t>
  </si>
  <si>
    <t xml:space="preserve">Քրիստինե Սագիյան </t>
  </si>
  <si>
    <t>96-30.1-Մ2-2</t>
  </si>
  <si>
    <t>3տ/7ա</t>
  </si>
  <si>
    <t>2տ/7ա</t>
  </si>
  <si>
    <t>4տ/7ա</t>
  </si>
  <si>
    <t>5տ/7ա</t>
  </si>
  <si>
    <t xml:space="preserve">Արթուր Հակոբյան </t>
  </si>
  <si>
    <t>96-30.1-Մ2-3</t>
  </si>
  <si>
    <t>2տ/11ա</t>
  </si>
  <si>
    <t>1տ/11ա</t>
  </si>
  <si>
    <t>3տ/11ա</t>
  </si>
  <si>
    <t>4տ/11ա</t>
  </si>
  <si>
    <t xml:space="preserve">Կամո Բունիաթյան </t>
  </si>
  <si>
    <t>96-30.1-Մ2-4</t>
  </si>
  <si>
    <t>9տ/1ա</t>
  </si>
  <si>
    <t xml:space="preserve">Սոս Ղուշչյան </t>
  </si>
  <si>
    <t>96-30.1-Մ2-5</t>
  </si>
  <si>
    <t xml:space="preserve">Արմինե Գրիգորյան </t>
  </si>
  <si>
    <t>96-30.1-Մ2-7</t>
  </si>
  <si>
    <t>ԹԱՓՈՒՐ</t>
  </si>
  <si>
    <t>ավագ մասնագետ</t>
  </si>
  <si>
    <t>96-30.1-Մ3-1</t>
  </si>
  <si>
    <t xml:space="preserve">Գուրգեն Ավետիսյան </t>
  </si>
  <si>
    <t>հողաշինության բաժնի պետ</t>
  </si>
  <si>
    <t>96-30.1-Ղ5-1</t>
  </si>
  <si>
    <t>10տ/3ա</t>
  </si>
  <si>
    <t>9տ/3ա</t>
  </si>
  <si>
    <t>11տ/3ա</t>
  </si>
  <si>
    <t>12տ/3ա</t>
  </si>
  <si>
    <t xml:space="preserve">Հայկ Հակոբյան </t>
  </si>
  <si>
    <t>հողաշինության բաժնի գլխավոր մասնագետ</t>
  </si>
  <si>
    <t>96-30.1-Մ2-6</t>
  </si>
  <si>
    <t xml:space="preserve">Սաթիկ Բադալյան </t>
  </si>
  <si>
    <t>հողաշինության բաժնի մասնագետ</t>
  </si>
  <si>
    <t>96-30.1-Մ7-1</t>
  </si>
  <si>
    <t>22տ/7ա</t>
  </si>
  <si>
    <t>21տ/7ա</t>
  </si>
  <si>
    <t>23տ/7ա</t>
  </si>
  <si>
    <t>24տ/7ա</t>
  </si>
  <si>
    <t>Առողջապահության և սոցիալական ոլորտի հարցերի վարչություն</t>
  </si>
  <si>
    <t xml:space="preserve">Անուշ Ղահրամանյան </t>
  </si>
  <si>
    <t>96-30.2-Ղ4-1</t>
  </si>
  <si>
    <t>1տ/4ա</t>
  </si>
  <si>
    <t xml:space="preserve">Ստելլա Առաքելյան </t>
  </si>
  <si>
    <t>96-30.2-Մ2-1</t>
  </si>
  <si>
    <t>12տ/7ա</t>
  </si>
  <si>
    <t xml:space="preserve">Նարինե Խչոյան </t>
  </si>
  <si>
    <t>96-30.2-Մ2-2</t>
  </si>
  <si>
    <t>14տ/1ա</t>
  </si>
  <si>
    <t xml:space="preserve">Կարեն Հովսեփյան </t>
  </si>
  <si>
    <t>96-30.2-Մ2-3</t>
  </si>
  <si>
    <t>5տ/10ա</t>
  </si>
  <si>
    <t>4տ/10ա</t>
  </si>
  <si>
    <t>6տ/10ա</t>
  </si>
  <si>
    <t>7տ/10ա</t>
  </si>
  <si>
    <t xml:space="preserve">Արտյուշ Պետրոսյան </t>
  </si>
  <si>
    <t>96-30.2-Մ2-4</t>
  </si>
  <si>
    <t>18տ/11ա</t>
  </si>
  <si>
    <t>17տ/11ա</t>
  </si>
  <si>
    <t>19տ/11ա</t>
  </si>
  <si>
    <t>20տ/11ա</t>
  </si>
  <si>
    <t xml:space="preserve">Արմինե Հովհաննիսյան </t>
  </si>
  <si>
    <t>96-30.2-Մ3-2</t>
  </si>
  <si>
    <t>2տ/1ա</t>
  </si>
  <si>
    <t xml:space="preserve">Շավարշ Արտաշյան </t>
  </si>
  <si>
    <t>96-30.2-Մ3-3</t>
  </si>
  <si>
    <t xml:space="preserve">Հռիփսիմե Սաֆարյան </t>
  </si>
  <si>
    <t>96-30.2-Մ3-4</t>
  </si>
  <si>
    <t xml:space="preserve">Համլետինա Հալաբյան </t>
  </si>
  <si>
    <t>96-30.2-Մ3-6</t>
  </si>
  <si>
    <t>14տ/5ա</t>
  </si>
  <si>
    <t>13տ/5ա</t>
  </si>
  <si>
    <t>15տ/5ա</t>
  </si>
  <si>
    <t>16տ/5ա</t>
  </si>
  <si>
    <t>Հարություն Ալեքսանյան</t>
  </si>
  <si>
    <t>96-30.3-Ղ4-1</t>
  </si>
  <si>
    <t>9տ/9ա</t>
  </si>
  <si>
    <t>8տ/9ա</t>
  </si>
  <si>
    <t>10տ/9ա</t>
  </si>
  <si>
    <t>11տ/9ա</t>
  </si>
  <si>
    <t>Սամվել Սահակյան</t>
  </si>
  <si>
    <t>96-30.3-Մ2-1</t>
  </si>
  <si>
    <t>17տ/0ա</t>
  </si>
  <si>
    <t>16տ/0ա</t>
  </si>
  <si>
    <t>18տ/0ա</t>
  </si>
  <si>
    <t>19տ/0ա</t>
  </si>
  <si>
    <t xml:space="preserve">Սուսաննա Մկրտչյան </t>
  </si>
  <si>
    <t>96-30.3-Մ2-2</t>
  </si>
  <si>
    <t>5տ/9ա</t>
  </si>
  <si>
    <t>4տ/9ա</t>
  </si>
  <si>
    <t>6տ/9ա</t>
  </si>
  <si>
    <t>7տ/9ա</t>
  </si>
  <si>
    <t xml:space="preserve">Արմեն Հակոբյան </t>
  </si>
  <si>
    <t>96-30.3-Մ2-3</t>
  </si>
  <si>
    <t>15տ/6ա</t>
  </si>
  <si>
    <t>14տ/6ա</t>
  </si>
  <si>
    <t>16տ/6ա</t>
  </si>
  <si>
    <t>17տ/6ա</t>
  </si>
  <si>
    <t xml:space="preserve">Մայրանուշ Գալստյան </t>
  </si>
  <si>
    <t>96-30.3-Մ2-4</t>
  </si>
  <si>
    <t>16տ/11ա</t>
  </si>
  <si>
    <t>15տ/11ա</t>
  </si>
  <si>
    <t xml:space="preserve">Կարեն Հունանյան </t>
  </si>
  <si>
    <t>96-30.4-Ղ4-1</t>
  </si>
  <si>
    <t>3տ/3ա</t>
  </si>
  <si>
    <t>2տ/3ա</t>
  </si>
  <si>
    <t>4տ/3ա</t>
  </si>
  <si>
    <t>5տ/3ա</t>
  </si>
  <si>
    <t xml:space="preserve">Հասմիկ Մակարյան </t>
  </si>
  <si>
    <t>96-30.4-Մ2-1</t>
  </si>
  <si>
    <t>21տ/1ա</t>
  </si>
  <si>
    <t>20տ/1ա</t>
  </si>
  <si>
    <t>22տ/1ա</t>
  </si>
  <si>
    <t>23տ/1ա</t>
  </si>
  <si>
    <t xml:space="preserve">Մարինե Հովակիմյան </t>
  </si>
  <si>
    <t>96-30.4-Մ2-2</t>
  </si>
  <si>
    <t xml:space="preserve">Տաթևիկ Հախվերդյան </t>
  </si>
  <si>
    <t>96-30.4-Մ2-3</t>
  </si>
  <si>
    <t xml:space="preserve">Նարե Ստեփանյան </t>
  </si>
  <si>
    <t>96-30.4-Մ2-4</t>
  </si>
  <si>
    <t>1տ/8ա</t>
  </si>
  <si>
    <t>0տ/8ա</t>
  </si>
  <si>
    <t>2տ/8ա</t>
  </si>
  <si>
    <t>3տ/8ա</t>
  </si>
  <si>
    <t xml:space="preserve">Գայանե Եգանյան </t>
  </si>
  <si>
    <t>96-30.4-Մ3-1</t>
  </si>
  <si>
    <t>96-30.4-Մ5-1</t>
  </si>
  <si>
    <t xml:space="preserve">Նաիրա Մարգարյան </t>
  </si>
  <si>
    <t>96-30.5-Ղ4-1</t>
  </si>
  <si>
    <t>14տ/9ա</t>
  </si>
  <si>
    <t>13տ/9ա</t>
  </si>
  <si>
    <t>15տ/9ա</t>
  </si>
  <si>
    <t>16տ/9ա</t>
  </si>
  <si>
    <t xml:space="preserve">Լիլիթ Ալավերդյան </t>
  </si>
  <si>
    <t>96-30.5-Մ2-1</t>
  </si>
  <si>
    <t>7տ/4ա</t>
  </si>
  <si>
    <t>6տ/4ա</t>
  </si>
  <si>
    <t>8տ/4ա</t>
  </si>
  <si>
    <t>9տ/4ա</t>
  </si>
  <si>
    <t xml:space="preserve">Լիլիթ Բաղդասարյան </t>
  </si>
  <si>
    <t>96-30.5-Մ3-1</t>
  </si>
  <si>
    <t>1տ/7ա</t>
  </si>
  <si>
    <t>0տ/7ա</t>
  </si>
  <si>
    <t xml:space="preserve">Մհեր Եղիազարյան </t>
  </si>
  <si>
    <t>96-30.6-Ղ4-1</t>
  </si>
  <si>
    <t>25տ/6ա</t>
  </si>
  <si>
    <t>24տ/6ա</t>
  </si>
  <si>
    <t>26տ/6ա</t>
  </si>
  <si>
    <t>27տ/6ա</t>
  </si>
  <si>
    <t>Կամո Թումոյան</t>
  </si>
  <si>
    <t>96-30.6-Մ2-1</t>
  </si>
  <si>
    <t xml:space="preserve">Անդրանիկ Ասատրյան </t>
  </si>
  <si>
    <t>96-30.6-Մ2-2</t>
  </si>
  <si>
    <t xml:space="preserve">Ռուզան Մարտիրոսյան </t>
  </si>
  <si>
    <t>96-30.6-Մ2-3</t>
  </si>
  <si>
    <t>24տ/11ա</t>
  </si>
  <si>
    <t>23տ/11ա</t>
  </si>
  <si>
    <t>25տ/11ա</t>
  </si>
  <si>
    <t>26տ/11ա</t>
  </si>
  <si>
    <t xml:space="preserve">Հայկ Մովսիսյան </t>
  </si>
  <si>
    <t>96-30.7-Ղ4-1</t>
  </si>
  <si>
    <t>8տ/3ա</t>
  </si>
  <si>
    <t>Նարինե Հովհաննիսյան</t>
  </si>
  <si>
    <t>96-30.7-Մ2-1</t>
  </si>
  <si>
    <t xml:space="preserve">Համլետ Ստեփանյան </t>
  </si>
  <si>
    <t>96-31.1-Ղ4-1</t>
  </si>
  <si>
    <t>3տ/10ա</t>
  </si>
  <si>
    <t xml:space="preserve">Սեդա Բաղդասարյան </t>
  </si>
  <si>
    <t>96-31.1-Մ2-1</t>
  </si>
  <si>
    <t>13տ/7ա</t>
  </si>
  <si>
    <t>14տ/7ա</t>
  </si>
  <si>
    <t>96-31.1-Մ3-1</t>
  </si>
  <si>
    <t xml:space="preserve">Անահիտ Ալեքսանյան </t>
  </si>
  <si>
    <t>մասնագետ</t>
  </si>
  <si>
    <t>96-31.1-Մ6-1</t>
  </si>
  <si>
    <t xml:space="preserve">Մանվել Պետրոսյան </t>
  </si>
  <si>
    <t>hաշվապահական հաշվառման բաժնի պետ-գլխավոր հաշվապահ</t>
  </si>
  <si>
    <t>96-31.1-Ղ5-1</t>
  </si>
  <si>
    <t xml:space="preserve">Թերեզա Մաթևոսյան </t>
  </si>
  <si>
    <t>hաշվապահական հաշվառման բաժնի գլխավոր մասնագետ</t>
  </si>
  <si>
    <t>96-31.1-Մ2-2</t>
  </si>
  <si>
    <t xml:space="preserve">Արուսյակ Վարդանյան </t>
  </si>
  <si>
    <t>hաշվապահական հաշվառման բաժնի ավագ մասնագետ</t>
  </si>
  <si>
    <t>96-31.1-Մ4-1</t>
  </si>
  <si>
    <t>6տ/3ա</t>
  </si>
  <si>
    <t xml:space="preserve"> Կարինե Հակոբյան</t>
  </si>
  <si>
    <t>hաշվապահական հաշվառման բաժնի մասնագետ</t>
  </si>
  <si>
    <t>96-31.1-Մ6-2</t>
  </si>
  <si>
    <t>25տ/8ա</t>
  </si>
  <si>
    <t>24տ/8ա</t>
  </si>
  <si>
    <t>26տ/8ա</t>
  </si>
  <si>
    <t>27տ/8ա</t>
  </si>
  <si>
    <t>Անձնակազմի կառավարման, փաստաթղթաշրջանառության և հասարակայնության հետ կապերի վարչություն</t>
  </si>
  <si>
    <t>Վահագն Նազլոյան</t>
  </si>
  <si>
    <t>96-31.2-Ղ4-1</t>
  </si>
  <si>
    <t>18տ/6ա</t>
  </si>
  <si>
    <t xml:space="preserve">Մարտուն Պողոսյան </t>
  </si>
  <si>
    <t>96-31.2-Մ2-1</t>
  </si>
  <si>
    <t>29տ/3ա</t>
  </si>
  <si>
    <t>28տ/3ա</t>
  </si>
  <si>
    <t>30տ/3ա</t>
  </si>
  <si>
    <t>31տ/3ա</t>
  </si>
  <si>
    <t xml:space="preserve">Կարեն Հովհաննիսյան </t>
  </si>
  <si>
    <t>96-31.2-Մ2-2</t>
  </si>
  <si>
    <t>Ինգա Հայրիյան</t>
  </si>
  <si>
    <t>96-31.2-Մ2-3</t>
  </si>
  <si>
    <t>3տ/9ա</t>
  </si>
  <si>
    <t>2տ/9ա</t>
  </si>
  <si>
    <t xml:space="preserve"> Ստեփան Ասատրյան</t>
  </si>
  <si>
    <t>96-31.2-Մ3-2</t>
  </si>
  <si>
    <t>10տ/2ա</t>
  </si>
  <si>
    <t>9տ/2ա</t>
  </si>
  <si>
    <t>11տ/2ա</t>
  </si>
  <si>
    <t>12տ/2ա</t>
  </si>
  <si>
    <t xml:space="preserve"> Իրինա Մկրտչյան</t>
  </si>
  <si>
    <t>անձնակազմի կառավարման բաժնի պետ</t>
  </si>
  <si>
    <t>96-31.2-Ղ5-1</t>
  </si>
  <si>
    <t xml:space="preserve">Անահիտ Բաբախանյան </t>
  </si>
  <si>
    <t>անձնակազմի կառավարման բաժնի բարեվարքության հարցերով կազմակերպիչ</t>
  </si>
  <si>
    <t>96-31.2-Մ3-3</t>
  </si>
  <si>
    <t>29տ/2ա</t>
  </si>
  <si>
    <t>28տ/2ա</t>
  </si>
  <si>
    <t>30տ/2ա</t>
  </si>
  <si>
    <t>31տ/2ա</t>
  </si>
  <si>
    <t xml:space="preserve">Ռուզաննա Գրիգորյան </t>
  </si>
  <si>
    <t>անձնակազմի կառավարման բաժնի ավագ մասնագետ</t>
  </si>
  <si>
    <t>96-31.2-Մ3-4</t>
  </si>
  <si>
    <t>Սաթենիկ Միքայելյան</t>
  </si>
  <si>
    <t>փաստաթղթաշրջանառության բաժնի պետ</t>
  </si>
  <si>
    <t>96-31.2-Ղ5-2</t>
  </si>
  <si>
    <t>2տ/10ա</t>
  </si>
  <si>
    <t xml:space="preserve">Մարիամ Ասատրյան </t>
  </si>
  <si>
    <t>փաստաթղթաշրջանառության բաժնի ավագ մասնագետ</t>
  </si>
  <si>
    <t>96-31.2-Մ3-5</t>
  </si>
  <si>
    <t>16տ/10ա</t>
  </si>
  <si>
    <t>15տ/10ա</t>
  </si>
  <si>
    <t>17տ/10ա</t>
  </si>
  <si>
    <t>18տ/10ա</t>
  </si>
  <si>
    <t xml:space="preserve">Կարինե Սողոմոնյան </t>
  </si>
  <si>
    <t>96-31.2-Մ3-6</t>
  </si>
  <si>
    <t>1տ/6ա</t>
  </si>
  <si>
    <t>0տ/6ա</t>
  </si>
  <si>
    <t xml:space="preserve">Անի Ղազարյան </t>
  </si>
  <si>
    <t>96-31.2-Մ3-7</t>
  </si>
  <si>
    <t xml:space="preserve">Լեյլի Խաչատրյան </t>
  </si>
  <si>
    <t>96-31.3-Ղ4-1</t>
  </si>
  <si>
    <t>1տ/3ա</t>
  </si>
  <si>
    <t xml:space="preserve">Էմմա Գևորգյան </t>
  </si>
  <si>
    <t>96-31.3-Մ3-1</t>
  </si>
  <si>
    <t>20տ/7ա</t>
  </si>
  <si>
    <t>19տ/7ա</t>
  </si>
  <si>
    <t xml:space="preserve">Նարինե Խաչատրյան </t>
  </si>
  <si>
    <t>գլխավոր քարտուղարի օգնական</t>
  </si>
  <si>
    <t>6տ/6ա</t>
  </si>
  <si>
    <t xml:space="preserve">Սևակ Սահակյան </t>
  </si>
  <si>
    <t>վարորդ</t>
  </si>
  <si>
    <t xml:space="preserve">Սուսաննա Զիրոյան </t>
  </si>
  <si>
    <t>հավաքարար</t>
  </si>
  <si>
    <t>26տ/7ա</t>
  </si>
  <si>
    <t>25տ/7ա</t>
  </si>
  <si>
    <t>27տ/7ա</t>
  </si>
  <si>
    <t>28տ/7ա</t>
  </si>
  <si>
    <t xml:space="preserve">Անահիտ Խաչատրյան </t>
  </si>
  <si>
    <t>24տ/2ա</t>
  </si>
  <si>
    <t>23տ/2ա</t>
  </si>
  <si>
    <t>25տ/2ա</t>
  </si>
  <si>
    <t>26տ/2ա</t>
  </si>
  <si>
    <t xml:space="preserve">Գայանե Հակոբյան </t>
  </si>
  <si>
    <t xml:space="preserve">Աշոտ Պողոսյան </t>
  </si>
  <si>
    <t>բանվոր</t>
  </si>
  <si>
    <t>4տ/8ա</t>
  </si>
  <si>
    <t>օպերատոր</t>
  </si>
  <si>
    <t>Հայտատուի  անվանումը` ՀՀ Կոտայքի մարզպետի աշխատակազմ</t>
  </si>
  <si>
    <t>Հայտատուի  անվանումը `ՀՀ Կոտայքի մարզպետի աշխատակազմ</t>
  </si>
  <si>
    <t>Հայտատուի  անվանումը` ՀՀ Կոտայքի մարապետի աշխատակազմ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</si>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</sst>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.0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_(* #,##0.0_);_(* \(#,##0.0\);_(* &quot;-&quot;??_);_(@_)"/>
    <numFmt numFmtId="206" formatCode="_-* #,##0.0_-;\-* #,##0.0_-;_-* &quot;-&quot;??_-;_-@_-"/>
    <numFmt numFmtId="207" formatCode="_-* #,##0_-;\-* #,##0_-;_-* &quot;-&quot;??_-;_-@_-"/>
    <numFmt numFmtId="208" formatCode="0.00000"/>
    <numFmt numFmtId="209" formatCode="0.0000"/>
    <numFmt numFmtId="210" formatCode="0.0%"/>
    <numFmt numFmtId="211" formatCode="#,##0.0_);[Red]\(#,##0.0\)"/>
    <numFmt numFmtId="212" formatCode="0.000000"/>
    <numFmt numFmtId="213" formatCode="#,##0.00000"/>
    <numFmt numFmtId="214" formatCode="0.00000000"/>
    <numFmt numFmtId="215" formatCode="_-* #,##0.0_р_._-;\-* #,##0.0_р_._-;_-* &quot;-&quot;??_р_._-;_-@_-"/>
    <numFmt numFmtId="216" formatCode="_(* #,##0.0_);_(* \(#,##0.0\);_(* &quot;-&quot;?_);_(@_)"/>
    <numFmt numFmtId="217" formatCode="_-* #,##0.00_р_._-;\-* #,##0.00_р_._-;_-* &quot;-&quot;??_р_._-;_-@_-"/>
    <numFmt numFmtId="218" formatCode="_(* #,##0.000_);_(* \(#,##0.000\);_(* &quot;-&quot;??_);_(@_)"/>
    <numFmt numFmtId="219" formatCode="_(* #,##0_);_(* \(#,##0\);_(* &quot;-&quot;??_);_(@_)"/>
    <numFmt numFmtId="220" formatCode="0_);[Red]\(0\)"/>
  </numFmts>
  <fonts count="1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u val="single"/>
      <sz val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i/>
      <sz val="9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sz val="9"/>
      <color indexed="8"/>
      <name val="Arial Unicode"/>
      <family val="2"/>
    </font>
    <font>
      <b/>
      <u val="single"/>
      <sz val="10"/>
      <name val="GHEA Grapalat"/>
      <family val="3"/>
    </font>
    <font>
      <u val="single"/>
      <sz val="9"/>
      <name val="GHEA Grapalat"/>
      <family val="3"/>
    </font>
    <font>
      <u val="single"/>
      <sz val="11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i/>
      <sz val="11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u val="single"/>
      <vertAlign val="superscript"/>
      <sz val="12"/>
      <name val="GHEA Grapalat"/>
      <family val="3"/>
    </font>
    <font>
      <b/>
      <i/>
      <vertAlign val="superscript"/>
      <sz val="10"/>
      <name val="GHEA Grapalat"/>
      <family val="3"/>
    </font>
    <font>
      <vertAlign val="superscript"/>
      <sz val="9"/>
      <name val="GHEA Grapalat"/>
      <family val="3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Armeni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i/>
      <sz val="9"/>
      <color indexed="8"/>
      <name val="GHEA Grapalat"/>
      <family val="3"/>
    </font>
    <font>
      <sz val="10"/>
      <color indexed="8"/>
      <name val="GHEA Mariam"/>
      <family val="3"/>
    </font>
    <font>
      <b/>
      <sz val="9"/>
      <color indexed="10"/>
      <name val="GHEA Grapalat"/>
      <family val="3"/>
    </font>
    <font>
      <b/>
      <vertAlign val="superscript"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GHEA Grapalat"/>
      <family val="3"/>
    </font>
    <font>
      <b/>
      <vertAlign val="superscript"/>
      <sz val="12"/>
      <color indexed="10"/>
      <name val="GHEA Grapalat"/>
      <family val="3"/>
    </font>
    <font>
      <sz val="8"/>
      <color indexed="10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 Armeni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000000"/>
      <name val="GHEA Mariam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b/>
      <sz val="9"/>
      <color rgb="FFFF0000"/>
      <name val="GHEA Grapalat"/>
      <family val="3"/>
    </font>
    <font>
      <b/>
      <vertAlign val="superscript"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GHEA Grapalat"/>
      <family val="3"/>
    </font>
    <font>
      <b/>
      <vertAlign val="superscript"/>
      <sz val="12"/>
      <color rgb="FFFF0000"/>
      <name val="GHEA Grapalat"/>
      <family val="3"/>
    </font>
    <font>
      <sz val="8"/>
      <color rgb="FFFF0000"/>
      <name val="GHEA Grapalat"/>
      <family val="3"/>
    </font>
    <font>
      <i/>
      <sz val="10"/>
      <color theme="1"/>
      <name val="GHEA Grapalat"/>
      <family val="3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71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87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42" fillId="0" borderId="0">
      <alignment/>
      <protection/>
    </xf>
    <xf numFmtId="0" fontId="4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4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78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Continuous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194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1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194" fontId="14" fillId="34" borderId="11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4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wrapText="1"/>
    </xf>
    <xf numFmtId="194" fontId="14" fillId="33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15" fillId="0" borderId="12" xfId="0" applyFont="1" applyBorder="1" applyAlignment="1">
      <alignment horizontal="centerContinuous" wrapText="1"/>
    </xf>
    <xf numFmtId="0" fontId="15" fillId="0" borderId="13" xfId="0" applyFont="1" applyBorder="1" applyAlignment="1">
      <alignment horizontal="centerContinuous" wrapText="1"/>
    </xf>
    <xf numFmtId="0" fontId="15" fillId="0" borderId="11" xfId="0" applyFont="1" applyBorder="1" applyAlignment="1">
      <alignment horizontal="centerContinuous" wrapText="1"/>
    </xf>
    <xf numFmtId="0" fontId="15" fillId="33" borderId="11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194" fontId="11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94" fontId="15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1" fillId="0" borderId="11" xfId="0" applyNumberFormat="1" applyFont="1" applyBorder="1" applyAlignment="1">
      <alignment horizontal="center" wrapText="1"/>
    </xf>
    <xf numFmtId="194" fontId="18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6" fillId="0" borderId="0" xfId="0" applyFont="1" applyAlignment="1">
      <alignment wrapText="1"/>
    </xf>
    <xf numFmtId="0" fontId="15" fillId="0" borderId="15" xfId="0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6" fillId="33" borderId="0" xfId="0" applyFont="1" applyFill="1" applyAlignment="1">
      <alignment wrapText="1"/>
    </xf>
    <xf numFmtId="0" fontId="11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Continuous" wrapText="1"/>
    </xf>
    <xf numFmtId="0" fontId="1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wrapText="1"/>
    </xf>
    <xf numFmtId="194" fontId="16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194" fontId="14" fillId="0" borderId="11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Continuous"/>
    </xf>
    <xf numFmtId="0" fontId="14" fillId="0" borderId="11" xfId="0" applyFont="1" applyBorder="1" applyAlignment="1">
      <alignment horizontal="center"/>
    </xf>
    <xf numFmtId="194" fontId="22" fillId="0" borderId="11" xfId="0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94" fontId="16" fillId="0" borderId="11" xfId="0" applyNumberFormat="1" applyFont="1" applyBorder="1" applyAlignment="1">
      <alignment horizontal="center"/>
    </xf>
    <xf numFmtId="0" fontId="14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194" fontId="11" fillId="0" borderId="11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0" fontId="14" fillId="35" borderId="16" xfId="0" applyFont="1" applyFill="1" applyBorder="1" applyAlignment="1">
      <alignment wrapText="1"/>
    </xf>
    <xf numFmtId="0" fontId="14" fillId="35" borderId="16" xfId="0" applyFont="1" applyFill="1" applyBorder="1" applyAlignment="1">
      <alignment horizontal="center" vertical="center"/>
    </xf>
    <xf numFmtId="194" fontId="14" fillId="35" borderId="16" xfId="0" applyNumberFormat="1" applyFont="1" applyFill="1" applyBorder="1" applyAlignment="1">
      <alignment horizontal="center" vertical="center"/>
    </xf>
    <xf numFmtId="194" fontId="14" fillId="35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Continuous" wrapText="1"/>
    </xf>
    <xf numFmtId="0" fontId="12" fillId="33" borderId="0" xfId="0" applyFont="1" applyFill="1" applyBorder="1" applyAlignment="1">
      <alignment horizontal="centerContinuous" wrapText="1"/>
    </xf>
    <xf numFmtId="0" fontId="28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 horizontal="center"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wrapText="1"/>
    </xf>
    <xf numFmtId="0" fontId="11" fillId="33" borderId="22" xfId="0" applyFont="1" applyFill="1" applyBorder="1" applyAlignment="1">
      <alignment wrapText="1"/>
    </xf>
    <xf numFmtId="0" fontId="11" fillId="33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4" fillId="0" borderId="25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wrapText="1"/>
    </xf>
    <xf numFmtId="0" fontId="22" fillId="33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27" fillId="0" borderId="23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9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31" fillId="33" borderId="10" xfId="0" applyFont="1" applyFill="1" applyBorder="1" applyAlignment="1">
      <alignment horizontal="left" wrapText="1"/>
    </xf>
    <xf numFmtId="0" fontId="31" fillId="33" borderId="0" xfId="0" applyFont="1" applyFill="1" applyBorder="1" applyAlignment="1">
      <alignment horizontal="centerContinuous" wrapText="1"/>
    </xf>
    <xf numFmtId="0" fontId="13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wrapText="1"/>
    </xf>
    <xf numFmtId="194" fontId="11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33" borderId="0" xfId="0" applyFont="1" applyFill="1" applyAlignment="1">
      <alignment horizontal="center" wrapText="1"/>
    </xf>
    <xf numFmtId="194" fontId="14" fillId="36" borderId="11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94" fontId="11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Continuous"/>
    </xf>
    <xf numFmtId="0" fontId="14" fillId="33" borderId="25" xfId="0" applyFont="1" applyFill="1" applyBorder="1" applyAlignment="1">
      <alignment horizontal="centerContinuous"/>
    </xf>
    <xf numFmtId="194" fontId="11" fillId="33" borderId="11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4" fillId="33" borderId="0" xfId="0" applyFont="1" applyFill="1" applyBorder="1" applyAlignment="1">
      <alignment horizontal="center" wrapText="1"/>
    </xf>
    <xf numFmtId="194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94" fontId="14" fillId="34" borderId="11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194" fontId="11" fillId="33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94" fontId="14" fillId="33" borderId="11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0" fontId="14" fillId="36" borderId="11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 horizontal="centerContinuous" wrapText="1"/>
    </xf>
    <xf numFmtId="0" fontId="37" fillId="36" borderId="0" xfId="0" applyFont="1" applyFill="1" applyBorder="1" applyAlignment="1">
      <alignment horizontal="centerContinuous" wrapText="1"/>
    </xf>
    <xf numFmtId="0" fontId="30" fillId="36" borderId="0" xfId="0" applyFont="1" applyFill="1" applyAlignment="1">
      <alignment/>
    </xf>
    <xf numFmtId="0" fontId="30" fillId="0" borderId="0" xfId="0" applyFont="1" applyAlignment="1">
      <alignment/>
    </xf>
    <xf numFmtId="0" fontId="14" fillId="33" borderId="29" xfId="0" applyFont="1" applyFill="1" applyBorder="1" applyAlignment="1">
      <alignment horizontal="centerContinuous" wrapText="1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vertical="top" wrapText="1"/>
    </xf>
    <xf numFmtId="194" fontId="14" fillId="37" borderId="11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Continuous" wrapText="1"/>
    </xf>
    <xf numFmtId="0" fontId="14" fillId="33" borderId="25" xfId="0" applyFont="1" applyFill="1" applyBorder="1" applyAlignment="1">
      <alignment horizontal="centerContinuous" wrapText="1"/>
    </xf>
    <xf numFmtId="0" fontId="14" fillId="33" borderId="13" xfId="0" applyFont="1" applyFill="1" applyBorder="1" applyAlignment="1">
      <alignment horizontal="centerContinuous" wrapText="1"/>
    </xf>
    <xf numFmtId="0" fontId="39" fillId="33" borderId="0" xfId="0" applyFont="1" applyFill="1" applyAlignment="1">
      <alignment/>
    </xf>
    <xf numFmtId="0" fontId="11" fillId="33" borderId="30" xfId="0" applyFont="1" applyFill="1" applyBorder="1" applyAlignment="1">
      <alignment wrapText="1"/>
    </xf>
    <xf numFmtId="0" fontId="11" fillId="33" borderId="30" xfId="0" applyFont="1" applyFill="1" applyBorder="1" applyAlignment="1">
      <alignment/>
    </xf>
    <xf numFmtId="0" fontId="11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0" fillId="38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3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0" xfId="0" applyFont="1" applyFill="1" applyAlignment="1">
      <alignment horizontal="centerContinuous" vertical="center"/>
    </xf>
    <xf numFmtId="1" fontId="96" fillId="0" borderId="11" xfId="0" applyNumberFormat="1" applyFont="1" applyBorder="1" applyAlignment="1">
      <alignment horizontal="center"/>
    </xf>
    <xf numFmtId="2" fontId="13" fillId="33" borderId="0" xfId="0" applyNumberFormat="1" applyFont="1" applyFill="1" applyAlignment="1">
      <alignment horizontal="centerContinuous" wrapText="1"/>
    </xf>
    <xf numFmtId="2" fontId="97" fillId="0" borderId="11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wrapText="1"/>
    </xf>
    <xf numFmtId="0" fontId="14" fillId="4" borderId="11" xfId="0" applyFont="1" applyFill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/>
    </xf>
    <xf numFmtId="0" fontId="29" fillId="10" borderId="11" xfId="0" applyFont="1" applyFill="1" applyBorder="1" applyAlignment="1">
      <alignment horizontal="center" wrapText="1"/>
    </xf>
    <xf numFmtId="194" fontId="29" fillId="1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2" fillId="33" borderId="31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Continuous" vertical="center" wrapText="1"/>
    </xf>
    <xf numFmtId="0" fontId="11" fillId="0" borderId="28" xfId="0" applyFont="1" applyBorder="1" applyAlignment="1">
      <alignment horizontal="center" wrapText="1"/>
    </xf>
    <xf numFmtId="0" fontId="11" fillId="0" borderId="34" xfId="0" applyFont="1" applyBorder="1" applyAlignment="1">
      <alignment horizontal="centerContinuous" wrapText="1"/>
    </xf>
    <xf numFmtId="0" fontId="11" fillId="0" borderId="28" xfId="0" applyFont="1" applyBorder="1" applyAlignment="1">
      <alignment horizontal="centerContinuous" wrapText="1"/>
    </xf>
    <xf numFmtId="0" fontId="26" fillId="0" borderId="28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2" fillId="33" borderId="31" xfId="0" applyFont="1" applyFill="1" applyBorder="1" applyAlignment="1">
      <alignment horizontal="centerContinuous" wrapText="1"/>
    </xf>
    <xf numFmtId="0" fontId="44" fillId="33" borderId="0" xfId="0" applyFont="1" applyFill="1" applyBorder="1" applyAlignment="1">
      <alignment horizontal="centerContinuous" vertical="center" wrapText="1"/>
    </xf>
    <xf numFmtId="0" fontId="11" fillId="1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wrapText="1"/>
    </xf>
    <xf numFmtId="0" fontId="32" fillId="10" borderId="11" xfId="0" applyFont="1" applyFill="1" applyBorder="1" applyAlignment="1">
      <alignment horizontal="left" wrapText="1"/>
    </xf>
    <xf numFmtId="0" fontId="23" fillId="10" borderId="11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3" fillId="33" borderId="0" xfId="0" applyFont="1" applyFill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98" fillId="0" borderId="11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left" vertical="top" wrapText="1"/>
    </xf>
    <xf numFmtId="0" fontId="99" fillId="0" borderId="11" xfId="0" applyFont="1" applyFill="1" applyBorder="1" applyAlignment="1">
      <alignment horizontal="center" vertical="top" wrapText="1"/>
    </xf>
    <xf numFmtId="194" fontId="23" fillId="0" borderId="11" xfId="73" applyNumberFormat="1" applyFont="1" applyFill="1" applyBorder="1" applyAlignment="1">
      <alignment horizontal="center" wrapText="1"/>
      <protection/>
    </xf>
    <xf numFmtId="194" fontId="11" fillId="33" borderId="32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00" fillId="0" borderId="11" xfId="0" applyFont="1" applyFill="1" applyBorder="1" applyAlignment="1">
      <alignment horizontal="left" vertical="center" wrapText="1"/>
    </xf>
    <xf numFmtId="0" fontId="101" fillId="0" borderId="11" xfId="0" applyFont="1" applyFill="1" applyBorder="1" applyAlignment="1">
      <alignment horizontal="left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34" borderId="13" xfId="114" applyFont="1" applyFill="1" applyBorder="1" applyAlignment="1">
      <alignment horizontal="center" vertical="center" wrapText="1"/>
      <protection/>
    </xf>
    <xf numFmtId="0" fontId="15" fillId="0" borderId="13" xfId="114" applyFont="1" applyFill="1" applyBorder="1" applyAlignment="1">
      <alignment horizontal="center"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49" fontId="35" fillId="4" borderId="35" xfId="0" applyNumberFormat="1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3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 wrapText="1"/>
    </xf>
    <xf numFmtId="0" fontId="11" fillId="33" borderId="11" xfId="0" applyFont="1" applyFill="1" applyBorder="1" applyAlignment="1">
      <alignment horizontal="left" indent="2"/>
    </xf>
    <xf numFmtId="0" fontId="11" fillId="12" borderId="11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left" indent="2"/>
    </xf>
    <xf numFmtId="0" fontId="102" fillId="0" borderId="0" xfId="0" applyFont="1" applyAlignment="1">
      <alignment horizontal="justify" vertical="center"/>
    </xf>
    <xf numFmtId="0" fontId="102" fillId="0" borderId="0" xfId="0" applyFont="1" applyAlignment="1">
      <alignment/>
    </xf>
    <xf numFmtId="0" fontId="11" fillId="38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vertical="center" wrapText="1"/>
    </xf>
    <xf numFmtId="0" fontId="98" fillId="0" borderId="13" xfId="0" applyFont="1" applyFill="1" applyBorder="1" applyAlignment="1">
      <alignment horizontal="center" vertical="center" wrapText="1"/>
    </xf>
    <xf numFmtId="0" fontId="103" fillId="0" borderId="17" xfId="0" applyFont="1" applyFill="1" applyBorder="1" applyAlignment="1">
      <alignment horizontal="left" vertical="top" wrapText="1"/>
    </xf>
    <xf numFmtId="0" fontId="10" fillId="38" borderId="0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9" fillId="39" borderId="17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94" fontId="23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4" fontId="14" fillId="38" borderId="11" xfId="0" applyNumberFormat="1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centerContinuous" vertical="center" wrapText="1"/>
    </xf>
    <xf numFmtId="0" fontId="13" fillId="0" borderId="25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11" xfId="0" applyFont="1" applyBorder="1" applyAlignment="1">
      <alignment/>
    </xf>
    <xf numFmtId="0" fontId="33" fillId="0" borderId="0" xfId="0" applyFont="1" applyAlignment="1">
      <alignment horizontal="centerContinuous" vertical="top" wrapText="1"/>
    </xf>
    <xf numFmtId="0" fontId="33" fillId="0" borderId="0" xfId="0" applyFont="1" applyAlignment="1">
      <alignment horizontal="centerContinuous" wrapText="1"/>
    </xf>
    <xf numFmtId="0" fontId="15" fillId="0" borderId="11" xfId="0" applyFont="1" applyFill="1" applyBorder="1" applyAlignment="1">
      <alignment horizontal="center" wrapText="1"/>
    </xf>
    <xf numFmtId="194" fontId="11" fillId="4" borderId="11" xfId="0" applyNumberFormat="1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wrapText="1"/>
    </xf>
    <xf numFmtId="194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194" fontId="14" fillId="0" borderId="11" xfId="0" applyNumberFormat="1" applyFont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left" wrapText="1"/>
    </xf>
    <xf numFmtId="0" fontId="15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194" fontId="14" fillId="4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04" fillId="40" borderId="37" xfId="0" applyFont="1" applyFill="1" applyBorder="1" applyAlignment="1">
      <alignment vertical="center"/>
    </xf>
    <xf numFmtId="0" fontId="104" fillId="40" borderId="38" xfId="0" applyFont="1" applyFill="1" applyBorder="1" applyAlignment="1">
      <alignment vertical="center"/>
    </xf>
    <xf numFmtId="0" fontId="24" fillId="13" borderId="37" xfId="0" applyFont="1" applyFill="1" applyBorder="1" applyAlignment="1">
      <alignment horizontal="center" vertical="center"/>
    </xf>
    <xf numFmtId="0" fontId="24" fillId="13" borderId="39" xfId="0" applyFont="1" applyFill="1" applyBorder="1" applyAlignment="1">
      <alignment vertical="center" wrapText="1"/>
    </xf>
    <xf numFmtId="0" fontId="32" fillId="13" borderId="11" xfId="0" applyFont="1" applyFill="1" applyBorder="1" applyAlignment="1">
      <alignment horizontal="center" vertical="center" wrapText="1"/>
    </xf>
    <xf numFmtId="0" fontId="105" fillId="18" borderId="37" xfId="0" applyFont="1" applyFill="1" applyBorder="1" applyAlignment="1">
      <alignment horizontal="center" vertical="center"/>
    </xf>
    <xf numFmtId="0" fontId="105" fillId="18" borderId="37" xfId="0" applyFont="1" applyFill="1" applyBorder="1" applyAlignment="1">
      <alignment horizontal="center" vertical="center" wrapText="1"/>
    </xf>
    <xf numFmtId="0" fontId="104" fillId="18" borderId="37" xfId="0" applyFont="1" applyFill="1" applyBorder="1" applyAlignment="1">
      <alignment vertical="center" wrapText="1"/>
    </xf>
    <xf numFmtId="0" fontId="105" fillId="18" borderId="37" xfId="0" applyFont="1" applyFill="1" applyBorder="1" applyAlignment="1">
      <alignment vertical="center" wrapText="1"/>
    </xf>
    <xf numFmtId="0" fontId="106" fillId="18" borderId="25" xfId="0" applyFont="1" applyFill="1" applyBorder="1" applyAlignment="1">
      <alignment horizontal="left" wrapText="1"/>
    </xf>
    <xf numFmtId="0" fontId="23" fillId="18" borderId="11" xfId="0" applyFont="1" applyFill="1" applyBorder="1" applyAlignment="1">
      <alignment horizontal="left" wrapText="1"/>
    </xf>
    <xf numFmtId="0" fontId="23" fillId="18" borderId="11" xfId="0" applyFont="1" applyFill="1" applyBorder="1" applyAlignment="1">
      <alignment/>
    </xf>
    <xf numFmtId="194" fontId="23" fillId="18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left" wrapText="1"/>
    </xf>
    <xf numFmtId="0" fontId="104" fillId="40" borderId="38" xfId="0" applyFont="1" applyFill="1" applyBorder="1" applyAlignment="1">
      <alignment vertical="center" wrapText="1"/>
    </xf>
    <xf numFmtId="0" fontId="104" fillId="40" borderId="40" xfId="0" applyFont="1" applyFill="1" applyBorder="1" applyAlignment="1">
      <alignment vertical="center" wrapText="1"/>
    </xf>
    <xf numFmtId="0" fontId="104" fillId="40" borderId="41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wrapText="1"/>
    </xf>
    <xf numFmtId="0" fontId="24" fillId="13" borderId="42" xfId="0" applyFont="1" applyFill="1" applyBorder="1" applyAlignment="1">
      <alignment horizontal="center" vertical="center"/>
    </xf>
    <xf numFmtId="0" fontId="104" fillId="40" borderId="11" xfId="0" applyFont="1" applyFill="1" applyBorder="1" applyAlignment="1">
      <alignment vertical="center"/>
    </xf>
    <xf numFmtId="0" fontId="105" fillId="18" borderId="38" xfId="0" applyFont="1" applyFill="1" applyBorder="1" applyAlignment="1">
      <alignment horizontal="center" vertical="center"/>
    </xf>
    <xf numFmtId="0" fontId="105" fillId="18" borderId="38" xfId="0" applyFont="1" applyFill="1" applyBorder="1" applyAlignment="1">
      <alignment horizontal="center" vertical="center" wrapText="1"/>
    </xf>
    <xf numFmtId="194" fontId="23" fillId="18" borderId="11" xfId="0" applyNumberFormat="1" applyFont="1" applyFill="1" applyBorder="1" applyAlignment="1">
      <alignment/>
    </xf>
    <xf numFmtId="194" fontId="14" fillId="18" borderId="11" xfId="0" applyNumberFormat="1" applyFont="1" applyFill="1" applyBorder="1" applyAlignment="1">
      <alignment horizontal="center"/>
    </xf>
    <xf numFmtId="1" fontId="107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31" borderId="11" xfId="0" applyFont="1" applyFill="1" applyBorder="1" applyAlignment="1">
      <alignment horizontal="center" wrapText="1"/>
    </xf>
    <xf numFmtId="0" fontId="14" fillId="31" borderId="0" xfId="0" applyFont="1" applyFill="1" applyAlignment="1">
      <alignment/>
    </xf>
    <xf numFmtId="0" fontId="14" fillId="31" borderId="0" xfId="0" applyFont="1" applyFill="1" applyBorder="1" applyAlignment="1">
      <alignment horizontal="centerContinuous" wrapText="1"/>
    </xf>
    <xf numFmtId="0" fontId="37" fillId="31" borderId="0" xfId="0" applyFont="1" applyFill="1" applyBorder="1" applyAlignment="1">
      <alignment horizontal="centerContinuous" wrapText="1"/>
    </xf>
    <xf numFmtId="0" fontId="14" fillId="31" borderId="13" xfId="0" applyFont="1" applyFill="1" applyBorder="1" applyAlignment="1">
      <alignment horizontal="centerContinuous"/>
    </xf>
    <xf numFmtId="0" fontId="14" fillId="31" borderId="11" xfId="0" applyFont="1" applyFill="1" applyBorder="1" applyAlignment="1">
      <alignment horizontal="center" wrapText="1"/>
    </xf>
    <xf numFmtId="194" fontId="14" fillId="31" borderId="11" xfId="0" applyNumberFormat="1" applyFont="1" applyFill="1" applyBorder="1" applyAlignment="1">
      <alignment horizontal="center"/>
    </xf>
    <xf numFmtId="0" fontId="30" fillId="31" borderId="0" xfId="0" applyFont="1" applyFill="1" applyAlignment="1">
      <alignment/>
    </xf>
    <xf numFmtId="194" fontId="46" fillId="36" borderId="0" xfId="0" applyNumberFormat="1" applyFont="1" applyFill="1" applyAlignment="1">
      <alignment/>
    </xf>
    <xf numFmtId="0" fontId="30" fillId="31" borderId="0" xfId="0" applyFont="1" applyFill="1" applyBorder="1" applyAlignment="1">
      <alignment/>
    </xf>
    <xf numFmtId="0" fontId="30" fillId="36" borderId="0" xfId="0" applyFont="1" applyFill="1" applyBorder="1" applyAlignment="1">
      <alignment/>
    </xf>
    <xf numFmtId="194" fontId="14" fillId="31" borderId="0" xfId="0" applyNumberFormat="1" applyFont="1" applyFill="1" applyBorder="1" applyAlignment="1">
      <alignment horizontal="center"/>
    </xf>
    <xf numFmtId="194" fontId="14" fillId="36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6" fillId="12" borderId="11" xfId="0" applyFont="1" applyFill="1" applyBorder="1" applyAlignment="1">
      <alignment horizontal="center"/>
    </xf>
    <xf numFmtId="0" fontId="33" fillId="12" borderId="11" xfId="0" applyFont="1" applyFill="1" applyBorder="1" applyAlignment="1">
      <alignment horizontal="center"/>
    </xf>
    <xf numFmtId="194" fontId="11" fillId="0" borderId="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23" fillId="33" borderId="0" xfId="0" applyFont="1" applyFill="1" applyAlignment="1">
      <alignment horizontal="centerContinuous"/>
    </xf>
    <xf numFmtId="0" fontId="32" fillId="33" borderId="0" xfId="0" applyFont="1" applyFill="1" applyAlignment="1">
      <alignment horizontal="centerContinuous"/>
    </xf>
    <xf numFmtId="0" fontId="13" fillId="33" borderId="0" xfId="0" applyFont="1" applyFill="1" applyAlignment="1">
      <alignment horizontal="centerContinuous"/>
    </xf>
    <xf numFmtId="1" fontId="14" fillId="33" borderId="11" xfId="0" applyNumberFormat="1" applyFont="1" applyFill="1" applyBorder="1" applyAlignment="1">
      <alignment/>
    </xf>
    <xf numFmtId="0" fontId="32" fillId="33" borderId="0" xfId="0" applyFont="1" applyFill="1" applyBorder="1" applyAlignment="1">
      <alignment wrapText="1"/>
    </xf>
    <xf numFmtId="0" fontId="32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 wrapText="1"/>
    </xf>
    <xf numFmtId="0" fontId="11" fillId="0" borderId="25" xfId="0" applyFont="1" applyBorder="1" applyAlignment="1">
      <alignment horizontal="centerContinuous" wrapText="1"/>
    </xf>
    <xf numFmtId="0" fontId="11" fillId="0" borderId="13" xfId="0" applyFont="1" applyBorder="1" applyAlignment="1">
      <alignment horizontal="centerContinuous" wrapText="1"/>
    </xf>
    <xf numFmtId="0" fontId="25" fillId="33" borderId="11" xfId="0" applyFont="1" applyFill="1" applyBorder="1" applyAlignment="1">
      <alignment vertical="center"/>
    </xf>
    <xf numFmtId="0" fontId="33" fillId="33" borderId="11" xfId="0" applyFont="1" applyFill="1" applyBorder="1" applyAlignment="1">
      <alignment/>
    </xf>
    <xf numFmtId="0" fontId="11" fillId="0" borderId="0" xfId="0" applyFont="1" applyAlignment="1">
      <alignment horizontal="center" wrapText="1"/>
    </xf>
    <xf numFmtId="205" fontId="11" fillId="0" borderId="0" xfId="119" applyNumberFormat="1" applyFont="1" applyAlignment="1">
      <alignment/>
    </xf>
    <xf numFmtId="0" fontId="97" fillId="0" borderId="0" xfId="0" applyFont="1" applyAlignment="1">
      <alignment/>
    </xf>
    <xf numFmtId="205" fontId="11" fillId="0" borderId="11" xfId="119" applyNumberFormat="1" applyFont="1" applyBorder="1" applyAlignment="1">
      <alignment horizontal="center"/>
    </xf>
    <xf numFmtId="0" fontId="14" fillId="33" borderId="0" xfId="0" applyFont="1" applyFill="1" applyAlignment="1">
      <alignment horizontal="left"/>
    </xf>
    <xf numFmtId="0" fontId="14" fillId="37" borderId="28" xfId="0" applyFont="1" applyFill="1" applyBorder="1" applyAlignment="1">
      <alignment horizontal="centerContinuous"/>
    </xf>
    <xf numFmtId="0" fontId="14" fillId="33" borderId="0" xfId="0" applyFont="1" applyFill="1" applyAlignment="1">
      <alignment horizontal="left" vertical="top"/>
    </xf>
    <xf numFmtId="0" fontId="14" fillId="33" borderId="0" xfId="0" applyFont="1" applyFill="1" applyAlignment="1">
      <alignment horizontal="left" vertical="center"/>
    </xf>
    <xf numFmtId="205" fontId="30" fillId="31" borderId="0" xfId="119" applyNumberFormat="1" applyFont="1" applyFill="1" applyAlignment="1">
      <alignment/>
    </xf>
    <xf numFmtId="0" fontId="10" fillId="38" borderId="0" xfId="0" applyFont="1" applyFill="1" applyBorder="1" applyAlignment="1">
      <alignment horizontal="center" wrapText="1"/>
    </xf>
    <xf numFmtId="194" fontId="97" fillId="33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31" fillId="33" borderId="11" xfId="0" applyFont="1" applyFill="1" applyBorder="1" applyAlignment="1">
      <alignment horizontal="centerContinuous" wrapText="1"/>
    </xf>
    <xf numFmtId="0" fontId="14" fillId="33" borderId="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center" wrapText="1"/>
    </xf>
    <xf numFmtId="194" fontId="106" fillId="0" borderId="11" xfId="0" applyNumberFormat="1" applyFont="1" applyBorder="1" applyAlignment="1">
      <alignment horizontal="center"/>
    </xf>
    <xf numFmtId="0" fontId="23" fillId="37" borderId="11" xfId="0" applyFont="1" applyFill="1" applyBorder="1" applyAlignment="1">
      <alignment/>
    </xf>
    <xf numFmtId="194" fontId="14" fillId="37" borderId="1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Continuous"/>
    </xf>
    <xf numFmtId="0" fontId="11" fillId="0" borderId="43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33" borderId="2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33" borderId="48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/>
    </xf>
    <xf numFmtId="194" fontId="11" fillId="0" borderId="43" xfId="0" applyNumberFormat="1" applyFont="1" applyBorder="1" applyAlignment="1">
      <alignment horizontal="center" vertical="center" wrapText="1"/>
    </xf>
    <xf numFmtId="194" fontId="11" fillId="0" borderId="17" xfId="0" applyNumberFormat="1" applyFont="1" applyBorder="1" applyAlignment="1">
      <alignment horizontal="center" vertical="center" wrapText="1"/>
    </xf>
    <xf numFmtId="194" fontId="11" fillId="0" borderId="44" xfId="0" applyNumberFormat="1" applyFont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wrapText="1"/>
    </xf>
    <xf numFmtId="0" fontId="22" fillId="0" borderId="11" xfId="0" applyFont="1" applyBorder="1" applyAlignment="1">
      <alignment vertical="center" wrapText="1"/>
    </xf>
    <xf numFmtId="0" fontId="11" fillId="38" borderId="11" xfId="0" applyFont="1" applyFill="1" applyBorder="1" applyAlignment="1">
      <alignment horizontal="center" wrapText="1"/>
    </xf>
    <xf numFmtId="0" fontId="15" fillId="38" borderId="11" xfId="0" applyFont="1" applyFill="1" applyBorder="1" applyAlignment="1">
      <alignment horizontal="center" wrapText="1"/>
    </xf>
    <xf numFmtId="0" fontId="106" fillId="41" borderId="11" xfId="0" applyFont="1" applyFill="1" applyBorder="1" applyAlignment="1">
      <alignment horizontal="center" wrapText="1"/>
    </xf>
    <xf numFmtId="1" fontId="14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205" fontId="23" fillId="12" borderId="11" xfId="119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5" fillId="38" borderId="12" xfId="0" applyFont="1" applyFill="1" applyBorder="1" applyAlignment="1">
      <alignment horizontal="center" wrapText="1"/>
    </xf>
    <xf numFmtId="0" fontId="15" fillId="38" borderId="25" xfId="0" applyFont="1" applyFill="1" applyBorder="1" applyAlignment="1">
      <alignment horizontal="center" wrapText="1"/>
    </xf>
    <xf numFmtId="0" fontId="15" fillId="38" borderId="32" xfId="0" applyFont="1" applyFill="1" applyBorder="1" applyAlignment="1">
      <alignment horizontal="center" wrapText="1"/>
    </xf>
    <xf numFmtId="0" fontId="15" fillId="38" borderId="50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205" fontId="11" fillId="38" borderId="11" xfId="119" applyNumberFormat="1" applyFont="1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23" fillId="12" borderId="17" xfId="0" applyFont="1" applyFill="1" applyBorder="1" applyAlignment="1">
      <alignment vertical="center" wrapText="1"/>
    </xf>
    <xf numFmtId="0" fontId="14" fillId="12" borderId="17" xfId="0" applyFont="1" applyFill="1" applyBorder="1" applyAlignment="1">
      <alignment vertical="center"/>
    </xf>
    <xf numFmtId="0" fontId="15" fillId="12" borderId="12" xfId="0" applyFont="1" applyFill="1" applyBorder="1" applyAlignment="1">
      <alignment horizontal="centerContinuous" wrapText="1"/>
    </xf>
    <xf numFmtId="0" fontId="15" fillId="12" borderId="11" xfId="0" applyFont="1" applyFill="1" applyBorder="1" applyAlignment="1">
      <alignment horizontal="centerContinuous" wrapText="1"/>
    </xf>
    <xf numFmtId="0" fontId="15" fillId="12" borderId="11" xfId="0" applyFont="1" applyFill="1" applyBorder="1" applyAlignment="1">
      <alignment horizontal="center" wrapText="1"/>
    </xf>
    <xf numFmtId="0" fontId="15" fillId="12" borderId="17" xfId="0" applyFont="1" applyFill="1" applyBorder="1" applyAlignment="1">
      <alignment wrapText="1"/>
    </xf>
    <xf numFmtId="0" fontId="15" fillId="12" borderId="26" xfId="0" applyFont="1" applyFill="1" applyBorder="1" applyAlignment="1">
      <alignment horizontal="center" wrapText="1"/>
    </xf>
    <xf numFmtId="0" fontId="15" fillId="12" borderId="14" xfId="0" applyFont="1" applyFill="1" applyBorder="1" applyAlignment="1">
      <alignment horizontal="center" wrapText="1"/>
    </xf>
    <xf numFmtId="0" fontId="21" fillId="12" borderId="14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0" fontId="34" fillId="0" borderId="51" xfId="0" applyFont="1" applyBorder="1" applyAlignment="1">
      <alignment horizontal="center" wrapText="1"/>
    </xf>
    <xf numFmtId="0" fontId="14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horizontal="center" wrapText="1"/>
    </xf>
    <xf numFmtId="0" fontId="14" fillId="38" borderId="11" xfId="0" applyFont="1" applyFill="1" applyBorder="1" applyAlignment="1">
      <alignment horizontal="center" wrapText="1"/>
    </xf>
    <xf numFmtId="0" fontId="11" fillId="12" borderId="11" xfId="0" applyFont="1" applyFill="1" applyBorder="1" applyAlignment="1">
      <alignment horizontal="center" wrapText="1"/>
    </xf>
    <xf numFmtId="0" fontId="108" fillId="0" borderId="0" xfId="0" applyFont="1" applyAlignment="1">
      <alignment vertical="top" wrapText="1"/>
    </xf>
    <xf numFmtId="0" fontId="108" fillId="0" borderId="0" xfId="0" applyFont="1" applyAlignment="1">
      <alignment/>
    </xf>
    <xf numFmtId="220" fontId="11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2" xfId="0" applyFont="1" applyFill="1" applyBorder="1" applyAlignment="1">
      <alignment horizontal="center" wrapText="1"/>
    </xf>
    <xf numFmtId="0" fontId="16" fillId="0" borderId="53" xfId="0" applyFont="1" applyFill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25" fillId="12" borderId="25" xfId="0" applyFont="1" applyFill="1" applyBorder="1" applyAlignment="1" applyProtection="1">
      <alignment horizontal="left" vertical="center"/>
      <protection locked="0"/>
    </xf>
    <xf numFmtId="0" fontId="25" fillId="12" borderId="25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 applyProtection="1">
      <alignment horizontal="center" wrapText="1"/>
      <protection/>
    </xf>
    <xf numFmtId="0" fontId="16" fillId="0" borderId="52" xfId="0" applyFont="1" applyFill="1" applyBorder="1" applyAlignment="1" applyProtection="1">
      <alignment horizontal="center" wrapText="1"/>
      <protection/>
    </xf>
    <xf numFmtId="0" fontId="106" fillId="0" borderId="0" xfId="0" applyFont="1" applyBorder="1" applyAlignment="1">
      <alignment/>
    </xf>
    <xf numFmtId="0" fontId="0" fillId="0" borderId="0" xfId="0" applyBorder="1" applyAlignment="1">
      <alignment/>
    </xf>
    <xf numFmtId="0" fontId="106" fillId="0" borderId="0" xfId="0" applyFont="1" applyBorder="1" applyAlignment="1">
      <alignment horizontal="right" vertical="center"/>
    </xf>
    <xf numFmtId="0" fontId="106" fillId="0" borderId="0" xfId="0" applyFont="1" applyBorder="1" applyAlignment="1">
      <alignment vertical="center"/>
    </xf>
    <xf numFmtId="0" fontId="109" fillId="0" borderId="0" xfId="0" applyFont="1" applyBorder="1" applyAlignment="1">
      <alignment/>
    </xf>
    <xf numFmtId="0" fontId="109" fillId="0" borderId="0" xfId="0" applyFont="1" applyFill="1" applyBorder="1" applyAlignment="1">
      <alignment/>
    </xf>
    <xf numFmtId="0" fontId="13" fillId="0" borderId="11" xfId="0" applyFont="1" applyBorder="1" applyAlignment="1">
      <alignment horizontal="left"/>
    </xf>
    <xf numFmtId="205" fontId="13" fillId="0" borderId="11" xfId="119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205" fontId="13" fillId="0" borderId="0" xfId="119" applyNumberFormat="1" applyFont="1" applyBorder="1" applyAlignment="1">
      <alignment/>
    </xf>
    <xf numFmtId="0" fontId="12" fillId="33" borderId="0" xfId="0" applyFont="1" applyFill="1" applyBorder="1" applyAlignment="1">
      <alignment/>
    </xf>
    <xf numFmtId="0" fontId="110" fillId="0" borderId="0" xfId="0" applyFont="1" applyAlignment="1">
      <alignment/>
    </xf>
    <xf numFmtId="0" fontId="97" fillId="0" borderId="11" xfId="0" applyFont="1" applyBorder="1" applyAlignment="1">
      <alignment/>
    </xf>
    <xf numFmtId="0" fontId="97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left" vertical="center" wrapText="1"/>
    </xf>
    <xf numFmtId="0" fontId="16" fillId="0" borderId="54" xfId="0" applyFont="1" applyFill="1" applyBorder="1" applyAlignment="1" applyProtection="1">
      <alignment horizontal="center" wrapText="1"/>
      <protection/>
    </xf>
    <xf numFmtId="2" fontId="11" fillId="0" borderId="11" xfId="0" applyNumberFormat="1" applyFont="1" applyBorder="1" applyAlignment="1">
      <alignment/>
    </xf>
    <xf numFmtId="0" fontId="19" fillId="0" borderId="25" xfId="0" applyFont="1" applyBorder="1" applyAlignment="1">
      <alignment wrapText="1"/>
    </xf>
    <xf numFmtId="194" fontId="14" fillId="41" borderId="11" xfId="0" applyNumberFormat="1" applyFont="1" applyFill="1" applyBorder="1" applyAlignment="1">
      <alignment horizontal="center"/>
    </xf>
    <xf numFmtId="0" fontId="105" fillId="12" borderId="37" xfId="0" applyFont="1" applyFill="1" applyBorder="1" applyAlignment="1">
      <alignment horizontal="center" vertical="center" wrapText="1"/>
    </xf>
    <xf numFmtId="0" fontId="104" fillId="12" borderId="37" xfId="0" applyFont="1" applyFill="1" applyBorder="1" applyAlignment="1">
      <alignment vertical="center" wrapText="1"/>
    </xf>
    <xf numFmtId="0" fontId="105" fillId="12" borderId="39" xfId="0" applyFont="1" applyFill="1" applyBorder="1" applyAlignment="1">
      <alignment vertical="center" wrapText="1"/>
    </xf>
    <xf numFmtId="0" fontId="105" fillId="12" borderId="11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/>
    </xf>
    <xf numFmtId="194" fontId="14" fillId="12" borderId="11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/>
    </xf>
    <xf numFmtId="194" fontId="23" fillId="18" borderId="11" xfId="0" applyNumberFormat="1" applyFont="1" applyFill="1" applyBorder="1" applyAlignment="1">
      <alignment horizontal="center" wrapText="1"/>
    </xf>
    <xf numFmtId="0" fontId="106" fillId="0" borderId="0" xfId="0" applyFont="1" applyAlignment="1">
      <alignment/>
    </xf>
    <xf numFmtId="0" fontId="107" fillId="37" borderId="11" xfId="0" applyFont="1" applyFill="1" applyBorder="1" applyAlignment="1">
      <alignment/>
    </xf>
    <xf numFmtId="216" fontId="11" fillId="38" borderId="11" xfId="0" applyNumberFormat="1" applyFont="1" applyFill="1" applyBorder="1" applyAlignment="1">
      <alignment horizontal="centerContinuous" wrapText="1"/>
    </xf>
    <xf numFmtId="0" fontId="43" fillId="12" borderId="11" xfId="0" applyFont="1" applyFill="1" applyBorder="1" applyAlignment="1">
      <alignment wrapText="1"/>
    </xf>
    <xf numFmtId="205" fontId="11" fillId="12" borderId="11" xfId="119" applyNumberFormat="1" applyFont="1" applyFill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32" fillId="12" borderId="11" xfId="0" applyFont="1" applyFill="1" applyBorder="1" applyAlignment="1">
      <alignment horizontal="left" wrapText="1"/>
    </xf>
    <xf numFmtId="0" fontId="13" fillId="12" borderId="11" xfId="0" applyFont="1" applyFill="1" applyBorder="1" applyAlignment="1">
      <alignment horizontal="center" wrapText="1"/>
    </xf>
    <xf numFmtId="0" fontId="14" fillId="12" borderId="11" xfId="0" applyFont="1" applyFill="1" applyBorder="1" applyAlignment="1">
      <alignment vertical="center"/>
    </xf>
    <xf numFmtId="0" fontId="23" fillId="12" borderId="11" xfId="0" applyFont="1" applyFill="1" applyBorder="1" applyAlignment="1">
      <alignment vertical="center" wrapText="1"/>
    </xf>
    <xf numFmtId="0" fontId="111" fillId="33" borderId="0" xfId="0" applyFont="1" applyFill="1" applyAlignment="1">
      <alignment horizontal="centerContinuous" wrapText="1"/>
    </xf>
    <xf numFmtId="0" fontId="108" fillId="0" borderId="0" xfId="0" applyFont="1" applyAlignment="1">
      <alignment horizontal="left"/>
    </xf>
    <xf numFmtId="1" fontId="97" fillId="41" borderId="11" xfId="0" applyNumberFormat="1" applyFont="1" applyFill="1" applyBorder="1" applyAlignment="1">
      <alignment horizontal="center" wrapText="1"/>
    </xf>
    <xf numFmtId="1" fontId="14" fillId="41" borderId="11" xfId="0" applyNumberFormat="1" applyFont="1" applyFill="1" applyBorder="1" applyAlignment="1">
      <alignment horizontal="center" wrapText="1"/>
    </xf>
    <xf numFmtId="0" fontId="112" fillId="41" borderId="0" xfId="0" applyFont="1" applyFill="1" applyAlignment="1">
      <alignment horizontal="center"/>
    </xf>
    <xf numFmtId="205" fontId="11" fillId="41" borderId="11" xfId="119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wrapText="1"/>
    </xf>
    <xf numFmtId="0" fontId="18" fillId="38" borderId="11" xfId="0" applyFont="1" applyFill="1" applyBorder="1" applyAlignment="1">
      <alignment horizontal="left" vertical="center" wrapText="1"/>
    </xf>
    <xf numFmtId="194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left" wrapText="1"/>
    </xf>
    <xf numFmtId="0" fontId="29" fillId="10" borderId="11" xfId="0" applyFont="1" applyFill="1" applyBorder="1" applyAlignment="1">
      <alignment horizontal="left" vertical="center" wrapText="1"/>
    </xf>
    <xf numFmtId="0" fontId="29" fillId="10" borderId="13" xfId="0" applyFont="1" applyFill="1" applyBorder="1" applyAlignment="1">
      <alignment horizontal="center"/>
    </xf>
    <xf numFmtId="194" fontId="18" fillId="0" borderId="12" xfId="0" applyNumberFormat="1" applyFont="1" applyBorder="1" applyAlignment="1">
      <alignment horizontal="center"/>
    </xf>
    <xf numFmtId="0" fontId="45" fillId="0" borderId="11" xfId="0" applyFont="1" applyBorder="1" applyAlignment="1">
      <alignment horizontal="left" vertical="center" wrapText="1"/>
    </xf>
    <xf numFmtId="194" fontId="45" fillId="0" borderId="12" xfId="0" applyNumberFormat="1" applyFont="1" applyBorder="1" applyAlignment="1">
      <alignment horizontal="center"/>
    </xf>
    <xf numFmtId="0" fontId="29" fillId="10" borderId="11" xfId="0" applyFont="1" applyFill="1" applyBorder="1" applyAlignment="1">
      <alignment horizontal="center" vertical="center" wrapText="1"/>
    </xf>
    <xf numFmtId="0" fontId="29" fillId="10" borderId="13" xfId="0" applyFont="1" applyFill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29" fillId="10" borderId="11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94" fontId="11" fillId="0" borderId="14" xfId="0" applyNumberFormat="1" applyFont="1" applyBorder="1" applyAlignment="1">
      <alignment horizontal="center" vertical="center"/>
    </xf>
    <xf numFmtId="194" fontId="11" fillId="0" borderId="14" xfId="0" applyNumberFormat="1" applyFont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94" fontId="13" fillId="33" borderId="11" xfId="0" applyNumberFormat="1" applyFont="1" applyFill="1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0" fontId="107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194" fontId="15" fillId="33" borderId="11" xfId="0" applyNumberFormat="1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38" borderId="11" xfId="0" applyFont="1" applyFill="1" applyBorder="1" applyAlignment="1">
      <alignment horizontal="left" vertical="center" wrapText="1"/>
    </xf>
    <xf numFmtId="194" fontId="15" fillId="33" borderId="11" xfId="0" applyNumberFormat="1" applyFont="1" applyFill="1" applyBorder="1" applyAlignment="1">
      <alignment horizontal="left" vertical="center" wrapText="1"/>
    </xf>
    <xf numFmtId="0" fontId="15" fillId="4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194" fontId="10" fillId="33" borderId="11" xfId="0" applyNumberFormat="1" applyFont="1" applyFill="1" applyBorder="1" applyAlignment="1">
      <alignment horizontal="left" vertical="center"/>
    </xf>
    <xf numFmtId="0" fontId="15" fillId="38" borderId="11" xfId="77" applyFont="1" applyFill="1" applyBorder="1" applyAlignment="1">
      <alignment horizontal="left" vertical="center" wrapText="1"/>
      <protection/>
    </xf>
    <xf numFmtId="194" fontId="10" fillId="33" borderId="11" xfId="0" applyNumberFormat="1" applyFont="1" applyFill="1" applyBorder="1" applyAlignment="1">
      <alignment horizontal="left" vertical="center" wrapText="1"/>
    </xf>
    <xf numFmtId="2" fontId="15" fillId="38" borderId="11" xfId="77" applyNumberFormat="1" applyFont="1" applyFill="1" applyBorder="1" applyAlignment="1">
      <alignment horizontal="left" vertical="center" wrapText="1"/>
      <protection/>
    </xf>
    <xf numFmtId="0" fontId="15" fillId="33" borderId="17" xfId="0" applyFont="1" applyFill="1" applyBorder="1" applyAlignment="1">
      <alignment horizontal="left" vertical="center"/>
    </xf>
    <xf numFmtId="2" fontId="15" fillId="38" borderId="12" xfId="77" applyNumberFormat="1" applyFont="1" applyFill="1" applyBorder="1" applyAlignment="1">
      <alignment horizontal="left" vertical="center" wrapText="1"/>
      <protection/>
    </xf>
    <xf numFmtId="194" fontId="10" fillId="33" borderId="14" xfId="0" applyNumberFormat="1" applyFont="1" applyFill="1" applyBorder="1" applyAlignment="1">
      <alignment horizontal="left" vertical="center"/>
    </xf>
    <xf numFmtId="194" fontId="15" fillId="33" borderId="13" xfId="0" applyNumberFormat="1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left" vertical="center" wrapText="1"/>
    </xf>
    <xf numFmtId="0" fontId="15" fillId="40" borderId="17" xfId="0" applyFont="1" applyFill="1" applyBorder="1" applyAlignment="1">
      <alignment horizontal="left" vertical="center" wrapText="1"/>
    </xf>
    <xf numFmtId="0" fontId="15" fillId="38" borderId="12" xfId="77" applyFont="1" applyFill="1" applyBorder="1" applyAlignment="1">
      <alignment horizontal="left" vertical="center" wrapText="1"/>
      <protection/>
    </xf>
    <xf numFmtId="0" fontId="113" fillId="0" borderId="0" xfId="0" applyFont="1" applyAlignment="1">
      <alignment horizontal="left" vertical="center"/>
    </xf>
    <xf numFmtId="194" fontId="15" fillId="38" borderId="12" xfId="0" applyNumberFormat="1" applyFont="1" applyFill="1" applyBorder="1" applyAlignment="1">
      <alignment horizontal="left" vertical="center" wrapText="1"/>
    </xf>
    <xf numFmtId="194" fontId="10" fillId="0" borderId="11" xfId="0" applyNumberFormat="1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8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1" xfId="114" applyFont="1" applyBorder="1" applyAlignment="1">
      <alignment horizontal="center" wrapText="1"/>
      <protection/>
    </xf>
    <xf numFmtId="0" fontId="14" fillId="33" borderId="10" xfId="0" applyFont="1" applyFill="1" applyBorder="1" applyAlignment="1">
      <alignment horizontal="left" wrapText="1"/>
    </xf>
    <xf numFmtId="194" fontId="15" fillId="38" borderId="11" xfId="0" applyNumberFormat="1" applyFont="1" applyFill="1" applyBorder="1" applyAlignment="1">
      <alignment horizontal="left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14" fillId="0" borderId="50" xfId="0" applyFont="1" applyFill="1" applyBorder="1" applyAlignment="1">
      <alignment horizontal="center" vertical="top" wrapText="1"/>
    </xf>
    <xf numFmtId="0" fontId="114" fillId="0" borderId="35" xfId="0" applyFont="1" applyFill="1" applyBorder="1" applyAlignment="1">
      <alignment horizontal="center" vertical="top" wrapText="1"/>
    </xf>
    <xf numFmtId="0" fontId="98" fillId="0" borderId="50" xfId="0" applyFont="1" applyFill="1" applyBorder="1" applyAlignment="1">
      <alignment horizontal="center" vertical="top" wrapText="1"/>
    </xf>
    <xf numFmtId="0" fontId="98" fillId="0" borderId="36" xfId="0" applyFont="1" applyFill="1" applyBorder="1" applyAlignment="1">
      <alignment horizontal="center" vertical="top" wrapText="1"/>
    </xf>
    <xf numFmtId="0" fontId="98" fillId="0" borderId="35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49" fontId="103" fillId="0" borderId="26" xfId="0" applyNumberFormat="1" applyFont="1" applyFill="1" applyBorder="1" applyAlignment="1">
      <alignment horizontal="center" vertical="top" wrapText="1"/>
    </xf>
    <xf numFmtId="49" fontId="103" fillId="0" borderId="14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 wrapText="1"/>
    </xf>
    <xf numFmtId="0" fontId="107" fillId="0" borderId="0" xfId="0" applyFont="1" applyFill="1" applyAlignment="1">
      <alignment horizontal="left" vertical="center" wrapText="1"/>
    </xf>
    <xf numFmtId="49" fontId="103" fillId="0" borderId="17" xfId="0" applyNumberFormat="1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32" fillId="12" borderId="17" xfId="0" applyFont="1" applyFill="1" applyBorder="1" applyAlignment="1">
      <alignment horizontal="center" vertical="center"/>
    </xf>
    <xf numFmtId="0" fontId="32" fillId="12" borderId="14" xfId="0" applyFont="1" applyFill="1" applyBorder="1" applyAlignment="1">
      <alignment horizontal="center" vertical="center"/>
    </xf>
    <xf numFmtId="0" fontId="32" fillId="12" borderId="17" xfId="0" applyFont="1" applyFill="1" applyBorder="1" applyAlignment="1">
      <alignment horizontal="center" vertical="center" wrapText="1"/>
    </xf>
    <xf numFmtId="0" fontId="32" fillId="12" borderId="14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wrapText="1"/>
    </xf>
    <xf numFmtId="0" fontId="15" fillId="12" borderId="25" xfId="0" applyFont="1" applyFill="1" applyBorder="1" applyAlignment="1">
      <alignment horizontal="center" wrapText="1"/>
    </xf>
    <xf numFmtId="0" fontId="15" fillId="12" borderId="13" xfId="0" applyFont="1" applyFill="1" applyBorder="1" applyAlignment="1">
      <alignment horizontal="center" wrapText="1"/>
    </xf>
    <xf numFmtId="0" fontId="23" fillId="33" borderId="31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5" fillId="33" borderId="22" xfId="0" applyFont="1" applyFill="1" applyBorder="1" applyAlignment="1">
      <alignment horizontal="center"/>
    </xf>
    <xf numFmtId="0" fontId="15" fillId="33" borderId="57" xfId="0" applyFont="1" applyFill="1" applyBorder="1" applyAlignment="1">
      <alignment horizontal="center"/>
    </xf>
    <xf numFmtId="0" fontId="15" fillId="33" borderId="58" xfId="0" applyFont="1" applyFill="1" applyBorder="1" applyAlignment="1">
      <alignment horizontal="center"/>
    </xf>
    <xf numFmtId="0" fontId="15" fillId="33" borderId="59" xfId="0" applyFont="1" applyFill="1" applyBorder="1" applyAlignment="1">
      <alignment horizontal="center"/>
    </xf>
    <xf numFmtId="0" fontId="15" fillId="31" borderId="60" xfId="0" applyFont="1" applyFill="1" applyBorder="1" applyAlignment="1">
      <alignment horizontal="center"/>
    </xf>
    <xf numFmtId="0" fontId="15" fillId="31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wrapText="1"/>
    </xf>
    <xf numFmtId="0" fontId="10" fillId="33" borderId="57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0" fontId="14" fillId="0" borderId="6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27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wrapText="1"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wrapText="1"/>
    </xf>
    <xf numFmtId="0" fontId="106" fillId="33" borderId="55" xfId="0" applyFont="1" applyFill="1" applyBorder="1" applyAlignment="1">
      <alignment horizontal="center" wrapText="1"/>
    </xf>
    <xf numFmtId="0" fontId="106" fillId="33" borderId="34" xfId="0" applyFont="1" applyFill="1" applyBorder="1" applyAlignment="1">
      <alignment horizontal="center" wrapText="1"/>
    </xf>
    <xf numFmtId="0" fontId="106" fillId="33" borderId="0" xfId="0" applyFont="1" applyFill="1" applyBorder="1" applyAlignment="1">
      <alignment horizontal="center" wrapText="1"/>
    </xf>
    <xf numFmtId="0" fontId="96" fillId="33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06" fillId="0" borderId="0" xfId="0" applyFont="1" applyFill="1" applyBorder="1" applyAlignment="1">
      <alignment horizontal="left" wrapText="1"/>
    </xf>
    <xf numFmtId="0" fontId="15" fillId="42" borderId="17" xfId="0" applyFont="1" applyFill="1" applyBorder="1" applyAlignment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0" xfId="33"/>
    <cellStyle name="Comma 2" xfId="34"/>
    <cellStyle name="Comma 2 2" xfId="35"/>
    <cellStyle name="Comma 2 3" xfId="36"/>
    <cellStyle name="Comma 2 4" xfId="37"/>
    <cellStyle name="Comma 3" xfId="38"/>
    <cellStyle name="Comma 3 2" xfId="39"/>
    <cellStyle name="Comma 3 2 2" xfId="40"/>
    <cellStyle name="Comma 3 3" xfId="41"/>
    <cellStyle name="Comma 4" xfId="42"/>
    <cellStyle name="Comma 5" xfId="43"/>
    <cellStyle name="Comma 6" xfId="44"/>
    <cellStyle name="Comma 6 2" xfId="45"/>
    <cellStyle name="Comma 6 2 2" xfId="46"/>
    <cellStyle name="Comma 6 3" xfId="47"/>
    <cellStyle name="Comma 7" xfId="48"/>
    <cellStyle name="Comma 7 2" xfId="49"/>
    <cellStyle name="Comma 7 2 2" xfId="50"/>
    <cellStyle name="Comma 7 3" xfId="51"/>
    <cellStyle name="Comma 8" xfId="52"/>
    <cellStyle name="Comma 9" xfId="53"/>
    <cellStyle name="Normal 10" xfId="54"/>
    <cellStyle name="Normal 11" xfId="55"/>
    <cellStyle name="Normal 12" xfId="56"/>
    <cellStyle name="Normal 13" xfId="57"/>
    <cellStyle name="Normal 2" xfId="58"/>
    <cellStyle name="Normal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rmal 4 2" xfId="66"/>
    <cellStyle name="Normal 4 3" xfId="67"/>
    <cellStyle name="Normal 5" xfId="68"/>
    <cellStyle name="Normal 6" xfId="69"/>
    <cellStyle name="Normal 6 2" xfId="70"/>
    <cellStyle name="Normal 6 2 2" xfId="71"/>
    <cellStyle name="Normal 6 3" xfId="72"/>
    <cellStyle name="Normal 7" xfId="73"/>
    <cellStyle name="Normal 8" xfId="74"/>
    <cellStyle name="Normal 8 2" xfId="75"/>
    <cellStyle name="Normal 9" xfId="76"/>
    <cellStyle name="Normal_Ashxatavarc" xfId="77"/>
    <cellStyle name="Style 1" xfId="78"/>
    <cellStyle name="Style 1 2" xfId="79"/>
    <cellStyle name="Style 1 3" xfId="80"/>
    <cellStyle name="Style 1 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3" xfId="103"/>
    <cellStyle name="Обычный 4" xfId="104"/>
    <cellStyle name="Обычный 5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Стиль 1" xfId="113"/>
    <cellStyle name="Стиль 1 2" xfId="114"/>
    <cellStyle name="Стиль 1 2 2" xfId="115"/>
    <cellStyle name="Стиль 1 2 3" xfId="116"/>
    <cellStyle name="Стиль 1 3" xfId="117"/>
    <cellStyle name="Текст предупреждения" xfId="118"/>
    <cellStyle name="Comma" xfId="119"/>
    <cellStyle name="Comma [0]" xfId="120"/>
    <cellStyle name="Финансовый 2" xfId="121"/>
    <cellStyle name="Финансовый 2 2" xfId="122"/>
    <cellStyle name="Финансовый 3" xfId="123"/>
    <cellStyle name="Финансовый 3 2" xfId="124"/>
    <cellStyle name="Финансовый 4" xfId="125"/>
    <cellStyle name="Финансовый 5" xfId="126"/>
    <cellStyle name="Хороший" xfId="12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3" sqref="A3:G3"/>
    </sheetView>
  </sheetViews>
  <sheetFormatPr defaultColWidth="9.140625" defaultRowHeight="12.75"/>
  <cols>
    <col min="1" max="3" width="7.28125" style="16" customWidth="1"/>
    <col min="4" max="4" width="9.140625" style="16" customWidth="1"/>
    <col min="5" max="5" width="12.28125" style="16" customWidth="1"/>
    <col min="6" max="6" width="45.140625" style="16" customWidth="1"/>
    <col min="7" max="11" width="12.8515625" style="15" customWidth="1"/>
    <col min="12" max="16384" width="9.140625" style="16" customWidth="1"/>
  </cols>
  <sheetData>
    <row r="1" spans="7:11" s="28" customFormat="1" ht="23.25" customHeight="1">
      <c r="G1" s="1"/>
      <c r="H1" s="2" t="s">
        <v>9</v>
      </c>
      <c r="I1" s="2"/>
      <c r="J1" s="2"/>
      <c r="K1" s="2"/>
    </row>
    <row r="2" spans="7:11" s="28" customFormat="1" ht="13.5">
      <c r="G2" s="2"/>
      <c r="H2" s="2"/>
      <c r="I2" s="2" t="s">
        <v>10</v>
      </c>
      <c r="J2" s="2"/>
      <c r="K2" s="2"/>
    </row>
    <row r="3" spans="1:11" s="28" customFormat="1" ht="27" customHeight="1" thickBot="1">
      <c r="A3" s="624" t="s">
        <v>947</v>
      </c>
      <c r="B3" s="624"/>
      <c r="C3" s="624"/>
      <c r="D3" s="624"/>
      <c r="E3" s="624"/>
      <c r="F3" s="624"/>
      <c r="G3" s="624"/>
      <c r="H3" s="2"/>
      <c r="I3" s="2"/>
      <c r="J3" s="2"/>
      <c r="K3" s="2"/>
    </row>
    <row r="4" spans="1:11" s="28" customFormat="1" ht="14.25">
      <c r="A4" s="623"/>
      <c r="B4" s="623"/>
      <c r="C4" s="623"/>
      <c r="D4" s="623"/>
      <c r="G4" s="20"/>
      <c r="H4" s="2"/>
      <c r="I4" s="2"/>
      <c r="J4" s="2"/>
      <c r="K4" s="2"/>
    </row>
    <row r="5" spans="7:11" s="28" customFormat="1" ht="13.5">
      <c r="G5" s="8"/>
      <c r="H5" s="8"/>
      <c r="I5" s="8"/>
      <c r="J5" s="8"/>
      <c r="K5" s="8"/>
    </row>
    <row r="6" spans="7:11" s="28" customFormat="1" ht="13.5" customHeight="1">
      <c r="G6" s="7"/>
      <c r="H6" s="8"/>
      <c r="J6" s="293"/>
      <c r="K6" s="293" t="s">
        <v>225</v>
      </c>
    </row>
    <row r="7" spans="1:12" s="169" customFormat="1" ht="13.5" customHeight="1">
      <c r="A7" s="615" t="s">
        <v>193</v>
      </c>
      <c r="B7" s="615" t="s">
        <v>194</v>
      </c>
      <c r="C7" s="615" t="s">
        <v>195</v>
      </c>
      <c r="D7" s="615" t="s">
        <v>196</v>
      </c>
      <c r="E7" s="615"/>
      <c r="F7" s="615" t="s">
        <v>218</v>
      </c>
      <c r="G7" s="616" t="s">
        <v>345</v>
      </c>
      <c r="H7" s="616" t="s">
        <v>346</v>
      </c>
      <c r="I7" s="616" t="s">
        <v>237</v>
      </c>
      <c r="J7" s="616" t="s">
        <v>290</v>
      </c>
      <c r="K7" s="616" t="s">
        <v>347</v>
      </c>
      <c r="L7" s="168"/>
    </row>
    <row r="8" spans="1:12" s="169" customFormat="1" ht="26.25" customHeight="1">
      <c r="A8" s="615"/>
      <c r="B8" s="615"/>
      <c r="C8" s="615"/>
      <c r="D8" s="263" t="s">
        <v>197</v>
      </c>
      <c r="E8" s="263" t="s">
        <v>198</v>
      </c>
      <c r="F8" s="615"/>
      <c r="G8" s="617"/>
      <c r="H8" s="617"/>
      <c r="I8" s="617"/>
      <c r="J8" s="617"/>
      <c r="K8" s="617"/>
      <c r="L8" s="168"/>
    </row>
    <row r="9" spans="1:12" s="169" customFormat="1" ht="12.75">
      <c r="A9" s="283">
        <v>1</v>
      </c>
      <c r="B9" s="283">
        <v>2</v>
      </c>
      <c r="C9" s="283">
        <v>3</v>
      </c>
      <c r="D9" s="283">
        <v>4</v>
      </c>
      <c r="E9" s="265">
        <v>5</v>
      </c>
      <c r="F9" s="265">
        <v>6</v>
      </c>
      <c r="G9" s="265">
        <v>7</v>
      </c>
      <c r="H9" s="265">
        <v>8</v>
      </c>
      <c r="I9" s="265">
        <v>9</v>
      </c>
      <c r="J9" s="265">
        <v>10</v>
      </c>
      <c r="K9" s="265">
        <v>11</v>
      </c>
      <c r="L9" s="168"/>
    </row>
    <row r="10" spans="1:11" ht="16.5">
      <c r="A10" s="305"/>
      <c r="B10" s="305"/>
      <c r="C10" s="305"/>
      <c r="D10" s="305"/>
      <c r="E10" s="304"/>
      <c r="F10" s="264" t="s">
        <v>199</v>
      </c>
      <c r="G10" s="22"/>
      <c r="H10" s="22"/>
      <c r="I10" s="22"/>
      <c r="J10" s="22"/>
      <c r="K10" s="22"/>
    </row>
    <row r="11" spans="1:11" ht="24.75" customHeight="1">
      <c r="A11" s="625"/>
      <c r="B11" s="625"/>
      <c r="C11" s="625"/>
      <c r="D11" s="625" t="s">
        <v>611</v>
      </c>
      <c r="E11" s="620"/>
      <c r="F11" s="271" t="s">
        <v>201</v>
      </c>
      <c r="G11" s="14"/>
      <c r="H11" s="14"/>
      <c r="I11" s="14"/>
      <c r="J11" s="14"/>
      <c r="K11" s="14"/>
    </row>
    <row r="12" spans="1:11" ht="31.5" customHeight="1">
      <c r="A12" s="625"/>
      <c r="B12" s="625"/>
      <c r="C12" s="625"/>
      <c r="D12" s="625"/>
      <c r="E12" s="621"/>
      <c r="F12" s="177" t="s">
        <v>224</v>
      </c>
      <c r="G12" s="14">
        <f>+G15+G17</f>
        <v>599345.4</v>
      </c>
      <c r="H12" s="14">
        <f>+H15+H17</f>
        <v>602609.7</v>
      </c>
      <c r="I12" s="14">
        <f>+I15+I17</f>
        <v>507156.79999999993</v>
      </c>
      <c r="J12" s="14">
        <f>+J15+J17</f>
        <v>510417.29999999993</v>
      </c>
      <c r="K12" s="14">
        <f>+K15+K17</f>
        <v>514188.79999999993</v>
      </c>
    </row>
    <row r="13" spans="1:11" ht="24" customHeight="1">
      <c r="A13" s="625"/>
      <c r="B13" s="625"/>
      <c r="C13" s="625"/>
      <c r="D13" s="625"/>
      <c r="E13" s="622"/>
      <c r="F13" s="272" t="s">
        <v>199</v>
      </c>
      <c r="G13" s="14"/>
      <c r="H13" s="14"/>
      <c r="I13" s="14"/>
      <c r="J13" s="14"/>
      <c r="K13" s="14"/>
    </row>
    <row r="14" spans="1:11" ht="31.5" customHeight="1">
      <c r="A14" s="625"/>
      <c r="B14" s="625"/>
      <c r="C14" s="625"/>
      <c r="D14" s="625"/>
      <c r="E14" s="618" t="s">
        <v>229</v>
      </c>
      <c r="F14" s="271" t="s">
        <v>202</v>
      </c>
      <c r="G14" s="14"/>
      <c r="H14" s="14"/>
      <c r="I14" s="14"/>
      <c r="J14" s="14"/>
      <c r="K14" s="14"/>
    </row>
    <row r="15" spans="1:11" ht="31.5" customHeight="1">
      <c r="A15" s="625"/>
      <c r="B15" s="625"/>
      <c r="C15" s="625"/>
      <c r="D15" s="625"/>
      <c r="E15" s="619"/>
      <c r="F15" s="177" t="s">
        <v>226</v>
      </c>
      <c r="G15" s="14">
        <f>+'2-ԸՆԴԱՄԵՆԸ ԾԱԽՍԵՐ'!E16</f>
        <v>595559.2000000001</v>
      </c>
      <c r="H15" s="14">
        <f>+'2-ԸՆԴԱՄԵՆԸ ԾԱԽՍԵՐ'!F16</f>
        <v>597509.7</v>
      </c>
      <c r="I15" s="14">
        <f>+'2-ԸՆԴԱՄԵՆԸ ԾԱԽՍԵՐ'!G16</f>
        <v>503156.79999999993</v>
      </c>
      <c r="J15" s="14">
        <f>+'2-ԸՆԴԱՄԵՆԸ ԾԱԽՍԵՐ'!K16</f>
        <v>506417.29999999993</v>
      </c>
      <c r="K15" s="14">
        <f>+'2-ԸՆԴԱՄԵՆԸ ԾԱԽՍԵՐ'!L16</f>
        <v>510188.79999999993</v>
      </c>
    </row>
    <row r="16" spans="1:11" ht="31.5" customHeight="1">
      <c r="A16" s="625"/>
      <c r="B16" s="625"/>
      <c r="C16" s="625"/>
      <c r="D16" s="625"/>
      <c r="E16" s="618" t="s">
        <v>228</v>
      </c>
      <c r="F16" s="271" t="s">
        <v>200</v>
      </c>
      <c r="G16" s="14"/>
      <c r="H16" s="14"/>
      <c r="I16" s="14"/>
      <c r="J16" s="14"/>
      <c r="K16" s="14"/>
    </row>
    <row r="17" spans="1:11" ht="47.25" customHeight="1">
      <c r="A17" s="626"/>
      <c r="B17" s="626"/>
      <c r="C17" s="626"/>
      <c r="D17" s="626"/>
      <c r="E17" s="619"/>
      <c r="F17" s="177" t="s">
        <v>227</v>
      </c>
      <c r="G17" s="14">
        <v>3786.2</v>
      </c>
      <c r="H17" s="14">
        <v>5100</v>
      </c>
      <c r="I17" s="14">
        <v>4000</v>
      </c>
      <c r="J17" s="14">
        <v>4000</v>
      </c>
      <c r="K17" s="14">
        <v>4000</v>
      </c>
    </row>
  </sheetData>
  <sheetProtection/>
  <mergeCells count="19">
    <mergeCell ref="A4:D4"/>
    <mergeCell ref="J7:J8"/>
    <mergeCell ref="K7:K8"/>
    <mergeCell ref="A3:G3"/>
    <mergeCell ref="A11:A17"/>
    <mergeCell ref="B11:B17"/>
    <mergeCell ref="C11:C17"/>
    <mergeCell ref="G7:G8"/>
    <mergeCell ref="I7:I8"/>
    <mergeCell ref="D11:D17"/>
    <mergeCell ref="A7:A8"/>
    <mergeCell ref="F7:F8"/>
    <mergeCell ref="H7:H8"/>
    <mergeCell ref="C7:C8"/>
    <mergeCell ref="E16:E17"/>
    <mergeCell ref="E14:E15"/>
    <mergeCell ref="D7:E7"/>
    <mergeCell ref="E11:E13"/>
    <mergeCell ref="B7:B8"/>
  </mergeCells>
  <printOptions/>
  <pageMargins left="0.17" right="0.17" top="1" bottom="1" header="0.26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114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3" width="9.140625" style="4" customWidth="1"/>
    <col min="4" max="4" width="59.57421875" style="4" customWidth="1"/>
    <col min="5" max="5" width="19.140625" style="4" customWidth="1"/>
    <col min="6" max="6" width="9.28125" style="4" customWidth="1"/>
    <col min="7" max="7" width="12.00390625" style="4" customWidth="1"/>
    <col min="8" max="8" width="11.140625" style="4" customWidth="1"/>
    <col min="9" max="9" width="12.421875" style="4" bestFit="1" customWidth="1"/>
    <col min="10" max="10" width="11.140625" style="4" customWidth="1"/>
    <col min="11" max="11" width="14.8515625" style="4" customWidth="1"/>
    <col min="12" max="12" width="9.57421875" style="4" customWidth="1"/>
    <col min="13" max="13" width="11.8515625" style="4" customWidth="1"/>
    <col min="14" max="14" width="11.00390625" style="4" customWidth="1"/>
    <col min="15" max="15" width="9.57421875" style="4" customWidth="1"/>
    <col min="16" max="16" width="11.8515625" style="4" customWidth="1"/>
    <col min="17" max="17" width="11.00390625" style="4" customWidth="1"/>
    <col min="18" max="16384" width="9.140625" style="4" customWidth="1"/>
  </cols>
  <sheetData>
    <row r="1" spans="1:252" ht="13.5">
      <c r="A1" s="28"/>
      <c r="B1" s="28"/>
      <c r="C1" s="195"/>
      <c r="D1" s="2"/>
      <c r="E1" s="2"/>
      <c r="F1" s="2"/>
      <c r="G1" s="73"/>
      <c r="H1" s="73"/>
      <c r="I1" s="2"/>
      <c r="J1" s="27"/>
      <c r="K1" s="86" t="s">
        <v>98</v>
      </c>
      <c r="L1" s="2"/>
      <c r="M1" s="27"/>
      <c r="N1" s="27"/>
      <c r="O1" s="27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</row>
    <row r="2" spans="1:252" ht="13.5">
      <c r="A2" s="28"/>
      <c r="B2" s="28"/>
      <c r="C2" s="195"/>
      <c r="D2" s="2"/>
      <c r="E2" s="2"/>
      <c r="F2" s="2"/>
      <c r="G2" s="73"/>
      <c r="H2" s="73"/>
      <c r="I2" s="2"/>
      <c r="J2" s="632" t="s">
        <v>10</v>
      </c>
      <c r="K2" s="632"/>
      <c r="L2" s="632"/>
      <c r="M2" s="27"/>
      <c r="N2" s="27"/>
      <c r="O2" s="27"/>
      <c r="P2" s="27"/>
      <c r="Q2" s="2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</row>
    <row r="3" spans="1:252" ht="29.25" customHeight="1" thickBot="1">
      <c r="A3" s="28"/>
      <c r="B3" s="28"/>
      <c r="C3" s="27"/>
      <c r="D3" s="624" t="s">
        <v>947</v>
      </c>
      <c r="E3" s="624"/>
      <c r="F3" s="112"/>
      <c r="G3" s="112"/>
      <c r="H3" s="112"/>
      <c r="I3" s="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</row>
    <row r="4" spans="1:252" ht="13.5">
      <c r="A4" s="116"/>
      <c r="B4" s="116"/>
      <c r="C4" s="27"/>
      <c r="D4" s="623"/>
      <c r="E4" s="623"/>
      <c r="F4" s="623"/>
      <c r="G4" s="623"/>
      <c r="H4" s="623"/>
      <c r="I4" s="115"/>
      <c r="J4" s="36"/>
      <c r="K4" s="115"/>
      <c r="L4" s="115"/>
      <c r="M4" s="115"/>
      <c r="N4" s="115"/>
      <c r="O4" s="115"/>
      <c r="P4" s="115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4.25">
      <c r="A5" s="118"/>
      <c r="B5" s="118"/>
      <c r="C5" s="689" t="s">
        <v>87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115"/>
      <c r="O5" s="118"/>
      <c r="P5" s="118"/>
      <c r="Q5" s="115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</row>
    <row r="6" spans="1:252" ht="13.5">
      <c r="A6" s="65"/>
      <c r="B6" s="65"/>
      <c r="C6" s="65"/>
      <c r="D6" s="8"/>
      <c r="E6" s="8"/>
      <c r="F6" s="8"/>
      <c r="G6" s="117"/>
      <c r="H6" s="117"/>
      <c r="I6" s="117"/>
      <c r="J6" s="117"/>
      <c r="K6" s="117"/>
      <c r="L6" s="117"/>
      <c r="M6" s="117"/>
      <c r="N6" s="115"/>
      <c r="O6" s="117"/>
      <c r="P6" s="117"/>
      <c r="Q6" s="11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</row>
    <row r="7" spans="1:252" ht="14.25">
      <c r="A7" s="118"/>
      <c r="B7" s="118"/>
      <c r="C7" s="689" t="s">
        <v>323</v>
      </c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115"/>
      <c r="O7" s="118"/>
      <c r="P7" s="118"/>
      <c r="Q7" s="115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</row>
    <row r="8" spans="1:252" ht="31.5" customHeight="1">
      <c r="A8" s="118"/>
      <c r="B8" s="118"/>
      <c r="C8" s="692" t="s">
        <v>285</v>
      </c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115"/>
      <c r="O8" s="118"/>
      <c r="P8" s="118"/>
      <c r="Q8" s="115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</row>
    <row r="9" spans="1:252" ht="14.25">
      <c r="A9" s="118"/>
      <c r="B9" s="118"/>
      <c r="C9" s="118"/>
      <c r="D9" s="34"/>
      <c r="E9" s="34"/>
      <c r="F9" s="34"/>
      <c r="G9" s="119"/>
      <c r="H9" s="119"/>
      <c r="I9" s="119"/>
      <c r="J9" s="119"/>
      <c r="K9" s="119"/>
      <c r="L9" s="119"/>
      <c r="M9" s="119"/>
      <c r="N9" s="118"/>
      <c r="O9" s="119"/>
      <c r="P9" s="119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</row>
    <row r="10" spans="1:252" ht="15" thickBot="1">
      <c r="A10" s="118"/>
      <c r="B10" s="118"/>
      <c r="C10" s="120"/>
      <c r="D10" s="34"/>
      <c r="E10" s="34"/>
      <c r="F10" s="34"/>
      <c r="G10" s="119"/>
      <c r="H10" s="119"/>
      <c r="I10" s="119"/>
      <c r="J10" s="119"/>
      <c r="K10" s="119"/>
      <c r="L10" s="119"/>
      <c r="M10" s="119"/>
      <c r="N10" s="118"/>
      <c r="O10" s="119"/>
      <c r="P10" s="119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</row>
    <row r="11" spans="1:252" ht="41.25" thickBot="1">
      <c r="A11" s="350"/>
      <c r="B11" s="350"/>
      <c r="C11" s="350"/>
      <c r="D11" s="352"/>
      <c r="E11" s="353" t="s">
        <v>272</v>
      </c>
      <c r="F11" s="127"/>
      <c r="G11" s="690" t="s">
        <v>286</v>
      </c>
      <c r="H11" s="690"/>
      <c r="I11" s="690"/>
      <c r="J11" s="690"/>
      <c r="K11" s="691"/>
      <c r="L11" s="676" t="s">
        <v>358</v>
      </c>
      <c r="M11" s="677"/>
      <c r="N11" s="678"/>
      <c r="O11" s="676" t="s">
        <v>353</v>
      </c>
      <c r="P11" s="677"/>
      <c r="Q11" s="678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</row>
    <row r="12" spans="1:252" ht="67.5">
      <c r="A12" s="128" t="s">
        <v>269</v>
      </c>
      <c r="B12" s="128" t="s">
        <v>270</v>
      </c>
      <c r="C12" s="128" t="s">
        <v>271</v>
      </c>
      <c r="D12" s="351"/>
      <c r="E12" s="128" t="s">
        <v>273</v>
      </c>
      <c r="F12" s="128" t="s">
        <v>103</v>
      </c>
      <c r="G12" s="129" t="s">
        <v>99</v>
      </c>
      <c r="H12" s="130" t="s">
        <v>104</v>
      </c>
      <c r="I12" s="130" t="s">
        <v>105</v>
      </c>
      <c r="J12" s="130" t="s">
        <v>284</v>
      </c>
      <c r="K12" s="130" t="s">
        <v>283</v>
      </c>
      <c r="L12" s="130" t="s">
        <v>99</v>
      </c>
      <c r="M12" s="130" t="s">
        <v>100</v>
      </c>
      <c r="N12" s="130" t="s">
        <v>101</v>
      </c>
      <c r="O12" s="130" t="s">
        <v>99</v>
      </c>
      <c r="P12" s="130" t="s">
        <v>100</v>
      </c>
      <c r="Q12" s="130" t="s">
        <v>101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</row>
    <row r="13" spans="1:252" ht="13.5" customHeight="1">
      <c r="A13" s="91">
        <v>1</v>
      </c>
      <c r="B13" s="91">
        <v>2</v>
      </c>
      <c r="C13" s="91">
        <v>3</v>
      </c>
      <c r="D13" s="91">
        <v>4</v>
      </c>
      <c r="E13" s="91">
        <v>5</v>
      </c>
      <c r="F13" s="91">
        <v>6</v>
      </c>
      <c r="G13" s="91">
        <v>7</v>
      </c>
      <c r="H13" s="91">
        <v>8</v>
      </c>
      <c r="I13" s="91">
        <v>9</v>
      </c>
      <c r="J13" s="91">
        <v>11</v>
      </c>
      <c r="K13" s="91">
        <v>12</v>
      </c>
      <c r="L13" s="91">
        <v>13</v>
      </c>
      <c r="M13" s="91">
        <v>14</v>
      </c>
      <c r="N13" s="91">
        <v>15</v>
      </c>
      <c r="O13" s="91">
        <v>16</v>
      </c>
      <c r="P13" s="91">
        <v>17</v>
      </c>
      <c r="Q13" s="91">
        <v>18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</row>
    <row r="14" spans="3:17" ht="20.25" customHeight="1">
      <c r="C14" s="125"/>
      <c r="D14" s="354"/>
      <c r="E14" s="354"/>
      <c r="F14" s="327"/>
      <c r="G14" s="327"/>
      <c r="H14" s="327"/>
      <c r="I14" s="327"/>
      <c r="J14" s="361">
        <v>2025</v>
      </c>
      <c r="K14" s="328"/>
      <c r="L14" s="328"/>
      <c r="M14" s="328"/>
      <c r="N14" s="328"/>
      <c r="O14" s="328"/>
      <c r="P14" s="328"/>
      <c r="Q14" s="328"/>
    </row>
    <row r="15" spans="1:17" ht="33">
      <c r="A15" s="341">
        <v>6</v>
      </c>
      <c r="B15" s="342"/>
      <c r="C15" s="343"/>
      <c r="D15" s="344" t="s">
        <v>274</v>
      </c>
      <c r="E15" s="345"/>
      <c r="F15" s="346"/>
      <c r="G15" s="517">
        <f>+G16+G73</f>
        <v>717</v>
      </c>
      <c r="H15" s="347"/>
      <c r="I15" s="347"/>
      <c r="J15" s="347"/>
      <c r="K15" s="347"/>
      <c r="L15" s="517">
        <f>+L16+L73</f>
        <v>57</v>
      </c>
      <c r="M15" s="347"/>
      <c r="N15" s="517">
        <f>+N16+N73</f>
        <v>5100</v>
      </c>
      <c r="O15" s="517">
        <f>+O16+O73</f>
        <v>45</v>
      </c>
      <c r="P15" s="359"/>
      <c r="Q15" s="517">
        <f>+Q16+Q73</f>
        <v>4000</v>
      </c>
    </row>
    <row r="16" spans="1:17" ht="28.5" customHeight="1">
      <c r="A16" s="336"/>
      <c r="B16" s="510">
        <v>61</v>
      </c>
      <c r="C16" s="511"/>
      <c r="D16" s="512" t="s">
        <v>278</v>
      </c>
      <c r="E16" s="513"/>
      <c r="F16" s="514"/>
      <c r="G16" s="515">
        <f>+G17+G36+G64</f>
        <v>157</v>
      </c>
      <c r="H16" s="516"/>
      <c r="I16" s="516"/>
      <c r="J16" s="516"/>
      <c r="K16" s="516"/>
      <c r="L16" s="515">
        <f>+L17+L36+L64</f>
        <v>16</v>
      </c>
      <c r="M16" s="516"/>
      <c r="N16" s="515">
        <f>+N17+N36+N64</f>
        <v>4300</v>
      </c>
      <c r="O16" s="515">
        <f>+O17+O36+O64</f>
        <v>15</v>
      </c>
      <c r="P16" s="516"/>
      <c r="Q16" s="515">
        <f>+Q17+Q36+Q64</f>
        <v>3700</v>
      </c>
    </row>
    <row r="17" spans="1:17" ht="82.5">
      <c r="A17" s="337"/>
      <c r="B17" s="337"/>
      <c r="C17" s="338">
        <v>610</v>
      </c>
      <c r="D17" s="339" t="s">
        <v>275</v>
      </c>
      <c r="E17" s="340">
        <v>5</v>
      </c>
      <c r="F17" s="67"/>
      <c r="G17" s="329">
        <f>+G18+G27</f>
        <v>118</v>
      </c>
      <c r="H17" s="67"/>
      <c r="I17" s="67"/>
      <c r="J17" s="340">
        <v>20</v>
      </c>
      <c r="K17" s="67"/>
      <c r="L17" s="329">
        <f>+L18+L27</f>
        <v>8</v>
      </c>
      <c r="M17" s="67"/>
      <c r="N17" s="329">
        <f>+N18+N27</f>
        <v>2700</v>
      </c>
      <c r="O17" s="329">
        <f>+O18+O27</f>
        <v>7</v>
      </c>
      <c r="P17" s="67"/>
      <c r="Q17" s="329">
        <f>+Q18+Q27</f>
        <v>2100</v>
      </c>
    </row>
    <row r="18" spans="1:17" ht="28.5">
      <c r="A18" s="333"/>
      <c r="B18" s="333"/>
      <c r="C18" s="330">
        <v>1</v>
      </c>
      <c r="D18" s="331" t="s">
        <v>265</v>
      </c>
      <c r="E18" s="349"/>
      <c r="F18" s="332"/>
      <c r="G18" s="334">
        <f>SUM(G19:G25)</f>
        <v>116</v>
      </c>
      <c r="H18" s="333"/>
      <c r="I18" s="333"/>
      <c r="J18" s="333"/>
      <c r="K18" s="333"/>
      <c r="L18" s="334">
        <f>SUM(L19:L25)</f>
        <v>8</v>
      </c>
      <c r="M18" s="333"/>
      <c r="N18" s="334">
        <f>SUM(N19:N25)</f>
        <v>2700</v>
      </c>
      <c r="O18" s="334">
        <f>SUM(O19:O25)</f>
        <v>7</v>
      </c>
      <c r="P18" s="333"/>
      <c r="Q18" s="334">
        <f>SUM(Q19:Q25)</f>
        <v>2100</v>
      </c>
    </row>
    <row r="19" spans="3:17" ht="13.5">
      <c r="C19" s="335"/>
      <c r="D19" s="335" t="s">
        <v>568</v>
      </c>
      <c r="E19" s="67"/>
      <c r="F19" s="67" t="s">
        <v>569</v>
      </c>
      <c r="G19" s="67">
        <v>65</v>
      </c>
      <c r="H19" s="67">
        <v>2006</v>
      </c>
      <c r="I19" s="67">
        <v>31570</v>
      </c>
      <c r="J19" s="67">
        <f>IF(($J$14-H19)*J$17&gt;100,100,($J$14-H19)*J$17)</f>
        <v>100</v>
      </c>
      <c r="K19" s="67">
        <f>IF(J19=100,0,I19-I19*J19%)</f>
        <v>0</v>
      </c>
      <c r="L19" s="67">
        <v>8</v>
      </c>
      <c r="M19" s="67">
        <v>337.5</v>
      </c>
      <c r="N19" s="48">
        <f>+L19*M19</f>
        <v>2700</v>
      </c>
      <c r="O19" s="67">
        <v>7</v>
      </c>
      <c r="P19" s="67">
        <v>300</v>
      </c>
      <c r="Q19" s="48">
        <f>O19*P19</f>
        <v>2100</v>
      </c>
    </row>
    <row r="20" spans="3:17" ht="13.5">
      <c r="C20" s="335"/>
      <c r="D20" s="335" t="s">
        <v>568</v>
      </c>
      <c r="E20" s="67"/>
      <c r="F20" s="67" t="s">
        <v>569</v>
      </c>
      <c r="G20" s="67">
        <v>11</v>
      </c>
      <c r="H20" s="67">
        <v>2019</v>
      </c>
      <c r="I20" s="67">
        <v>2142</v>
      </c>
      <c r="J20" s="67">
        <f>IF(($J$14-H20)*J$17&gt;100,100,($J$14-H20)*J$17)</f>
        <v>100</v>
      </c>
      <c r="K20" s="67">
        <f>IF(J20=100,0,I20-I20*J20%)</f>
        <v>0</v>
      </c>
      <c r="L20" s="67"/>
      <c r="M20" s="67"/>
      <c r="N20" s="48">
        <f>+L20*M20</f>
        <v>0</v>
      </c>
      <c r="O20" s="67"/>
      <c r="P20" s="67"/>
      <c r="Q20" s="48">
        <f>+O20*P20</f>
        <v>0</v>
      </c>
    </row>
    <row r="21" spans="3:17" ht="13.5">
      <c r="C21" s="335"/>
      <c r="D21" s="335" t="s">
        <v>568</v>
      </c>
      <c r="E21" s="67"/>
      <c r="F21" s="67" t="s">
        <v>569</v>
      </c>
      <c r="G21" s="67">
        <v>25</v>
      </c>
      <c r="H21" s="67">
        <v>2021</v>
      </c>
      <c r="I21" s="67">
        <v>9339</v>
      </c>
      <c r="J21" s="67">
        <f>IF(($J$14-H21)*J$17&gt;100,100,($J$14-H21)*J$17)</f>
        <v>80</v>
      </c>
      <c r="K21" s="67">
        <f>IF(J21=100,0,I21-I21*J21%)</f>
        <v>1867.7999999999993</v>
      </c>
      <c r="L21" s="67"/>
      <c r="M21" s="67"/>
      <c r="N21" s="48">
        <f>+L21*M21</f>
        <v>0</v>
      </c>
      <c r="O21" s="67"/>
      <c r="P21" s="67"/>
      <c r="Q21" s="48">
        <f>+O21*P21</f>
        <v>0</v>
      </c>
    </row>
    <row r="22" spans="3:17" ht="13.5">
      <c r="C22" s="335"/>
      <c r="D22" s="335" t="s">
        <v>568</v>
      </c>
      <c r="E22" s="67"/>
      <c r="F22" s="67" t="s">
        <v>569</v>
      </c>
      <c r="G22" s="67">
        <v>10</v>
      </c>
      <c r="H22" s="67">
        <v>2022</v>
      </c>
      <c r="I22" s="67">
        <v>47.36</v>
      </c>
      <c r="J22" s="67">
        <f>IF(($J$14-H22)*J$17&gt;100,100,($J$14-H22)*J$17)</f>
        <v>60</v>
      </c>
      <c r="K22" s="67">
        <f>IF(J22=100,0,I22-I22*J22%)</f>
        <v>18.944</v>
      </c>
      <c r="L22" s="67"/>
      <c r="M22" s="67"/>
      <c r="N22" s="48">
        <f>+L22*M22</f>
        <v>0</v>
      </c>
      <c r="O22" s="67"/>
      <c r="P22" s="67"/>
      <c r="Q22" s="48">
        <f>+O22*P22</f>
        <v>0</v>
      </c>
    </row>
    <row r="23" spans="3:17" ht="13.5">
      <c r="C23" s="335"/>
      <c r="D23" s="335" t="s">
        <v>568</v>
      </c>
      <c r="E23" s="67"/>
      <c r="F23" s="67" t="s">
        <v>569</v>
      </c>
      <c r="G23" s="67">
        <v>5</v>
      </c>
      <c r="H23" s="67">
        <v>2023</v>
      </c>
      <c r="I23" s="67">
        <v>1540</v>
      </c>
      <c r="J23" s="67">
        <v>10</v>
      </c>
      <c r="K23" s="67">
        <f>IF(J23=100,0,I23-I23*J23%)</f>
        <v>1386</v>
      </c>
      <c r="L23" s="67">
        <v>0</v>
      </c>
      <c r="M23" s="67">
        <v>0</v>
      </c>
      <c r="N23" s="48">
        <f>+L23*M23</f>
        <v>0</v>
      </c>
      <c r="O23" s="67"/>
      <c r="P23" s="67"/>
      <c r="Q23" s="48">
        <f>+O23*P23</f>
        <v>0</v>
      </c>
    </row>
    <row r="24" spans="3:17" ht="13.5">
      <c r="C24" s="91"/>
      <c r="D24" s="335"/>
      <c r="E24" s="67"/>
      <c r="F24" s="67"/>
      <c r="G24" s="507"/>
      <c r="H24" s="67"/>
      <c r="I24" s="67"/>
      <c r="J24" s="67"/>
      <c r="K24" s="67"/>
      <c r="L24" s="67"/>
      <c r="M24" s="67"/>
      <c r="N24" s="48"/>
      <c r="O24" s="67"/>
      <c r="P24" s="67"/>
      <c r="Q24" s="48"/>
    </row>
    <row r="25" spans="3:17" ht="13.5" hidden="1">
      <c r="C25" s="91"/>
      <c r="D25" s="335"/>
      <c r="E25" s="67"/>
      <c r="F25" s="67"/>
      <c r="G25" s="507"/>
      <c r="H25" s="67"/>
      <c r="I25" s="67"/>
      <c r="J25" s="67">
        <f>IF(($J$14-H25)*J$17&gt;100,100,($J$14-H25)*J$17)</f>
        <v>100</v>
      </c>
      <c r="K25" s="67">
        <f>IF(J25=100,0,I25-I25*J25%)</f>
        <v>0</v>
      </c>
      <c r="L25" s="67"/>
      <c r="M25" s="67"/>
      <c r="N25" s="48">
        <f>+L25*M25</f>
        <v>0</v>
      </c>
      <c r="O25" s="67"/>
      <c r="P25" s="67"/>
      <c r="Q25" s="48">
        <f>+O25*P25</f>
        <v>0</v>
      </c>
    </row>
    <row r="26" spans="3:17" ht="27">
      <c r="C26" s="91"/>
      <c r="D26" s="483" t="s">
        <v>410</v>
      </c>
      <c r="E26" s="67"/>
      <c r="F26" s="67"/>
      <c r="G26" s="509">
        <f>SUMIF(J19:J25,"&lt;100",G19:G25)</f>
        <v>40</v>
      </c>
      <c r="H26" s="67"/>
      <c r="I26" s="67"/>
      <c r="K26" s="67"/>
      <c r="L26" s="67"/>
      <c r="M26" s="67"/>
      <c r="N26" s="48"/>
      <c r="O26" s="67"/>
      <c r="P26" s="67"/>
      <c r="Q26" s="48"/>
    </row>
    <row r="27" spans="1:17" ht="57">
      <c r="A27" s="333"/>
      <c r="B27" s="333"/>
      <c r="C27" s="330">
        <v>2</v>
      </c>
      <c r="D27" s="331" t="s">
        <v>264</v>
      </c>
      <c r="E27" s="349"/>
      <c r="F27" s="332"/>
      <c r="G27" s="334">
        <f>SUM(G28:G34)</f>
        <v>2</v>
      </c>
      <c r="H27" s="333"/>
      <c r="I27" s="333"/>
      <c r="J27" s="333"/>
      <c r="K27" s="333"/>
      <c r="L27" s="334">
        <f>SUM(L28:L30)</f>
        <v>0</v>
      </c>
      <c r="M27" s="333"/>
      <c r="N27" s="334">
        <f>SUM(N28:N30)</f>
        <v>0</v>
      </c>
      <c r="O27" s="334">
        <f>SUM(O28:O30)</f>
        <v>0</v>
      </c>
      <c r="P27" s="333"/>
      <c r="Q27" s="334">
        <f>SUM(Q28:Q30)</f>
        <v>0</v>
      </c>
    </row>
    <row r="28" spans="3:17" ht="13.5">
      <c r="C28" s="91"/>
      <c r="D28" s="67" t="s">
        <v>576</v>
      </c>
      <c r="E28" s="67"/>
      <c r="F28" s="67" t="s">
        <v>569</v>
      </c>
      <c r="G28" s="67">
        <v>2</v>
      </c>
      <c r="H28" s="67">
        <v>2006</v>
      </c>
      <c r="I28" s="67">
        <v>1100</v>
      </c>
      <c r="J28" s="67">
        <f>IF(($J$14-H28)*J$17&gt;100,100,($J$14-H28)*J$17)</f>
        <v>100</v>
      </c>
      <c r="K28" s="67">
        <f>IF(J28=100,0,I28-I28*J28%)</f>
        <v>0</v>
      </c>
      <c r="L28" s="67"/>
      <c r="M28" s="67"/>
      <c r="N28" s="48">
        <f>+L28*M28</f>
        <v>0</v>
      </c>
      <c r="O28" s="67"/>
      <c r="P28" s="67"/>
      <c r="Q28" s="48">
        <f>+O28*P28</f>
        <v>0</v>
      </c>
    </row>
    <row r="29" spans="3:17" ht="13.5">
      <c r="C29" s="91"/>
      <c r="D29" s="67"/>
      <c r="E29" s="67"/>
      <c r="F29" s="67"/>
      <c r="G29" s="507"/>
      <c r="H29" s="67"/>
      <c r="I29" s="67"/>
      <c r="J29" s="67">
        <f aca="true" t="shared" si="0" ref="J29:J34">IF(($J$14-H29)*J$17&gt;100,100,($J$14-H29)*J$17)</f>
        <v>100</v>
      </c>
      <c r="K29" s="67">
        <f aca="true" t="shared" si="1" ref="K29:K34">IF(J29=100,0,I29-I29*J29%)</f>
        <v>0</v>
      </c>
      <c r="L29" s="67"/>
      <c r="M29" s="67"/>
      <c r="N29" s="48">
        <f aca="true" t="shared" si="2" ref="N29:N34">+L29*M29</f>
        <v>0</v>
      </c>
      <c r="O29" s="67"/>
      <c r="P29" s="67"/>
      <c r="Q29" s="48">
        <f aca="true" t="shared" si="3" ref="Q29:Q34">+O29*P29</f>
        <v>0</v>
      </c>
    </row>
    <row r="30" spans="3:17" ht="13.5">
      <c r="C30" s="91"/>
      <c r="D30" s="67"/>
      <c r="E30" s="67"/>
      <c r="F30" s="67"/>
      <c r="G30" s="507"/>
      <c r="H30" s="67"/>
      <c r="I30" s="67"/>
      <c r="J30" s="67">
        <f t="shared" si="0"/>
        <v>100</v>
      </c>
      <c r="K30" s="67">
        <f t="shared" si="1"/>
        <v>0</v>
      </c>
      <c r="L30" s="67"/>
      <c r="M30" s="67"/>
      <c r="N30" s="48">
        <f t="shared" si="2"/>
        <v>0</v>
      </c>
      <c r="O30" s="67"/>
      <c r="P30" s="67"/>
      <c r="Q30" s="48">
        <f t="shared" si="3"/>
        <v>0</v>
      </c>
    </row>
    <row r="31" spans="3:17" ht="13.5">
      <c r="C31" s="91"/>
      <c r="D31" s="335"/>
      <c r="E31" s="67"/>
      <c r="F31" s="67"/>
      <c r="G31" s="507"/>
      <c r="H31" s="67"/>
      <c r="I31" s="67"/>
      <c r="J31" s="67">
        <f t="shared" si="0"/>
        <v>100</v>
      </c>
      <c r="K31" s="67">
        <f t="shared" si="1"/>
        <v>0</v>
      </c>
      <c r="L31" s="67"/>
      <c r="M31" s="67"/>
      <c r="N31" s="48">
        <f t="shared" si="2"/>
        <v>0</v>
      </c>
      <c r="O31" s="67"/>
      <c r="P31" s="67"/>
      <c r="Q31" s="48">
        <f t="shared" si="3"/>
        <v>0</v>
      </c>
    </row>
    <row r="32" spans="3:17" ht="13.5">
      <c r="C32" s="91"/>
      <c r="D32" s="335"/>
      <c r="E32" s="67"/>
      <c r="F32" s="67"/>
      <c r="G32" s="507"/>
      <c r="H32" s="67"/>
      <c r="I32" s="67"/>
      <c r="J32" s="67">
        <f t="shared" si="0"/>
        <v>100</v>
      </c>
      <c r="K32" s="67">
        <f t="shared" si="1"/>
        <v>0</v>
      </c>
      <c r="L32" s="67"/>
      <c r="M32" s="67"/>
      <c r="N32" s="48">
        <f t="shared" si="2"/>
        <v>0</v>
      </c>
      <c r="O32" s="67"/>
      <c r="P32" s="67"/>
      <c r="Q32" s="48">
        <f t="shared" si="3"/>
        <v>0</v>
      </c>
    </row>
    <row r="33" spans="3:17" ht="13.5">
      <c r="C33" s="91"/>
      <c r="D33" s="335"/>
      <c r="E33" s="67"/>
      <c r="F33" s="67"/>
      <c r="G33" s="507"/>
      <c r="H33" s="67"/>
      <c r="I33" s="67"/>
      <c r="J33" s="67">
        <f t="shared" si="0"/>
        <v>100</v>
      </c>
      <c r="K33" s="67">
        <f t="shared" si="1"/>
        <v>0</v>
      </c>
      <c r="L33" s="67"/>
      <c r="M33" s="67"/>
      <c r="N33" s="48">
        <f t="shared" si="2"/>
        <v>0</v>
      </c>
      <c r="O33" s="67"/>
      <c r="P33" s="67"/>
      <c r="Q33" s="48">
        <f t="shared" si="3"/>
        <v>0</v>
      </c>
    </row>
    <row r="34" spans="3:17" ht="13.5" hidden="1">
      <c r="C34" s="91"/>
      <c r="D34" s="335"/>
      <c r="E34" s="67"/>
      <c r="F34" s="67"/>
      <c r="G34" s="507"/>
      <c r="H34" s="67"/>
      <c r="I34" s="67"/>
      <c r="J34" s="67">
        <f t="shared" si="0"/>
        <v>100</v>
      </c>
      <c r="K34" s="67">
        <f t="shared" si="1"/>
        <v>0</v>
      </c>
      <c r="L34" s="67"/>
      <c r="M34" s="67"/>
      <c r="N34" s="48">
        <f t="shared" si="2"/>
        <v>0</v>
      </c>
      <c r="O34" s="67"/>
      <c r="P34" s="67"/>
      <c r="Q34" s="48">
        <f t="shared" si="3"/>
        <v>0</v>
      </c>
    </row>
    <row r="35" spans="3:17" ht="27">
      <c r="C35" s="91"/>
      <c r="D35" s="483" t="s">
        <v>410</v>
      </c>
      <c r="E35" s="67"/>
      <c r="F35" s="67"/>
      <c r="G35" s="509">
        <f>SUMIF(J28:J34,"&lt;100",G28:G34)</f>
        <v>0</v>
      </c>
      <c r="H35" s="67"/>
      <c r="I35" s="67"/>
      <c r="K35" s="67"/>
      <c r="L35" s="67"/>
      <c r="M35" s="67"/>
      <c r="N35" s="48"/>
      <c r="O35" s="67"/>
      <c r="P35" s="67"/>
      <c r="Q35" s="48"/>
    </row>
    <row r="36" spans="1:17" ht="165">
      <c r="A36" s="337"/>
      <c r="B36" s="337"/>
      <c r="C36" s="338">
        <v>611</v>
      </c>
      <c r="D36" s="339" t="s">
        <v>276</v>
      </c>
      <c r="E36" s="340">
        <v>7</v>
      </c>
      <c r="F36" s="67"/>
      <c r="G36" s="329">
        <f>+G37+G46+G55</f>
        <v>39</v>
      </c>
      <c r="H36" s="67"/>
      <c r="I36" s="67"/>
      <c r="J36" s="340">
        <v>14.3</v>
      </c>
      <c r="K36" s="67">
        <f>IF(J36=100,0,I36-I36*J36%)</f>
        <v>0</v>
      </c>
      <c r="L36" s="329">
        <f>+L37+L46+L55</f>
        <v>0</v>
      </c>
      <c r="M36" s="67"/>
      <c r="N36" s="329">
        <f>+N37+N46+N55</f>
        <v>0</v>
      </c>
      <c r="O36" s="329"/>
      <c r="P36" s="67"/>
      <c r="Q36" s="329">
        <f>+Q37+Q46+Q55</f>
        <v>0</v>
      </c>
    </row>
    <row r="37" spans="1:17" ht="14.25">
      <c r="A37" s="333"/>
      <c r="B37" s="333"/>
      <c r="C37" s="330">
        <v>1</v>
      </c>
      <c r="D37" s="331" t="s">
        <v>266</v>
      </c>
      <c r="E37" s="331"/>
      <c r="F37" s="332"/>
      <c r="G37" s="334">
        <f>SUM(G38:G44)</f>
        <v>0</v>
      </c>
      <c r="H37" s="333"/>
      <c r="I37" s="333"/>
      <c r="J37" s="333"/>
      <c r="K37" s="333"/>
      <c r="L37" s="334">
        <f>SUM(L38:L40)</f>
        <v>0</v>
      </c>
      <c r="M37" s="333"/>
      <c r="N37" s="334">
        <f>SUM(N38:N40)</f>
        <v>0</v>
      </c>
      <c r="O37" s="334">
        <f>SUM(O38:O40)</f>
        <v>0</v>
      </c>
      <c r="P37" s="333"/>
      <c r="Q37" s="334">
        <f>SUM(Q38:Q40)</f>
        <v>0</v>
      </c>
    </row>
    <row r="38" spans="3:17" ht="13.5">
      <c r="C38" s="91"/>
      <c r="D38" s="67"/>
      <c r="E38" s="67"/>
      <c r="F38" s="67"/>
      <c r="G38" s="507"/>
      <c r="H38" s="67"/>
      <c r="I38" s="67"/>
      <c r="J38" s="67">
        <f>IF(($J$14-H38)*J$36&gt;100,100,($J$14-H38)*J$36)</f>
        <v>100</v>
      </c>
      <c r="K38" s="67">
        <f aca="true" t="shared" si="4" ref="K38:K44">IF(J38=100,0,I38-I38*J38%)</f>
        <v>0</v>
      </c>
      <c r="L38" s="67"/>
      <c r="M38" s="67"/>
      <c r="N38" s="48">
        <f aca="true" t="shared" si="5" ref="N38:N44">+L38*M38</f>
        <v>0</v>
      </c>
      <c r="O38" s="67"/>
      <c r="P38" s="67"/>
      <c r="Q38" s="48">
        <f aca="true" t="shared" si="6" ref="Q38:Q44">+O38*P38</f>
        <v>0</v>
      </c>
    </row>
    <row r="39" spans="3:17" ht="13.5">
      <c r="C39" s="91"/>
      <c r="D39" s="67"/>
      <c r="E39" s="67"/>
      <c r="F39" s="67"/>
      <c r="G39" s="507"/>
      <c r="H39" s="67"/>
      <c r="I39" s="67"/>
      <c r="J39" s="67">
        <f>IF(($J$14-H39)*J$36&gt;100,100,($J$14-H39)*J$36)</f>
        <v>100</v>
      </c>
      <c r="K39" s="67">
        <f t="shared" si="4"/>
        <v>0</v>
      </c>
      <c r="L39" s="67"/>
      <c r="M39" s="67"/>
      <c r="N39" s="48">
        <f t="shared" si="5"/>
        <v>0</v>
      </c>
      <c r="O39" s="67"/>
      <c r="P39" s="67"/>
      <c r="Q39" s="48">
        <f t="shared" si="6"/>
        <v>0</v>
      </c>
    </row>
    <row r="40" spans="3:17" ht="13.5">
      <c r="C40" s="91"/>
      <c r="D40" s="67"/>
      <c r="E40" s="67"/>
      <c r="F40" s="67"/>
      <c r="G40" s="507"/>
      <c r="H40" s="67"/>
      <c r="I40" s="67"/>
      <c r="J40" s="67">
        <f>IF(($J$14-H40)*J$36&gt;100,100,($J$14-H40)*J$36)</f>
        <v>100</v>
      </c>
      <c r="K40" s="67">
        <f t="shared" si="4"/>
        <v>0</v>
      </c>
      <c r="L40" s="67"/>
      <c r="M40" s="67"/>
      <c r="N40" s="48">
        <f t="shared" si="5"/>
        <v>0</v>
      </c>
      <c r="O40" s="67"/>
      <c r="P40" s="67"/>
      <c r="Q40" s="48">
        <f t="shared" si="6"/>
        <v>0</v>
      </c>
    </row>
    <row r="41" spans="3:17" ht="13.5">
      <c r="C41" s="91"/>
      <c r="D41" s="335"/>
      <c r="E41" s="67"/>
      <c r="F41" s="67"/>
      <c r="G41" s="507"/>
      <c r="H41" s="67"/>
      <c r="I41" s="67"/>
      <c r="J41" s="67">
        <f>IF(($J$14-H41)*J$17&gt;100,100,($J$14-H41)*J$17)</f>
        <v>100</v>
      </c>
      <c r="K41" s="67">
        <f t="shared" si="4"/>
        <v>0</v>
      </c>
      <c r="L41" s="67"/>
      <c r="M41" s="67"/>
      <c r="N41" s="48">
        <f t="shared" si="5"/>
        <v>0</v>
      </c>
      <c r="O41" s="67"/>
      <c r="P41" s="67"/>
      <c r="Q41" s="48">
        <f t="shared" si="6"/>
        <v>0</v>
      </c>
    </row>
    <row r="42" spans="3:17" ht="13.5">
      <c r="C42" s="91"/>
      <c r="D42" s="335"/>
      <c r="E42" s="67"/>
      <c r="F42" s="67"/>
      <c r="G42" s="507"/>
      <c r="H42" s="67"/>
      <c r="I42" s="67"/>
      <c r="J42" s="67">
        <f>IF(($J$14-H42)*J$17&gt;100,100,($J$14-H42)*J$17)</f>
        <v>100</v>
      </c>
      <c r="K42" s="67">
        <f t="shared" si="4"/>
        <v>0</v>
      </c>
      <c r="L42" s="67"/>
      <c r="M42" s="67"/>
      <c r="N42" s="48">
        <f t="shared" si="5"/>
        <v>0</v>
      </c>
      <c r="O42" s="67"/>
      <c r="P42" s="67"/>
      <c r="Q42" s="48">
        <f t="shared" si="6"/>
        <v>0</v>
      </c>
    </row>
    <row r="43" spans="3:17" ht="13.5">
      <c r="C43" s="91"/>
      <c r="D43" s="335"/>
      <c r="E43" s="67"/>
      <c r="F43" s="67"/>
      <c r="G43" s="507"/>
      <c r="H43" s="67"/>
      <c r="I43" s="67"/>
      <c r="J43" s="67">
        <f>IF(($J$14-H43)*J$17&gt;100,100,($J$14-H43)*J$17)</f>
        <v>100</v>
      </c>
      <c r="K43" s="67">
        <f t="shared" si="4"/>
        <v>0</v>
      </c>
      <c r="L43" s="67"/>
      <c r="M43" s="67"/>
      <c r="N43" s="48">
        <f t="shared" si="5"/>
        <v>0</v>
      </c>
      <c r="O43" s="67"/>
      <c r="P43" s="67"/>
      <c r="Q43" s="48">
        <f t="shared" si="6"/>
        <v>0</v>
      </c>
    </row>
    <row r="44" spans="3:17" ht="13.5">
      <c r="C44" s="91"/>
      <c r="D44" s="335"/>
      <c r="E44" s="67"/>
      <c r="F44" s="67"/>
      <c r="G44" s="507"/>
      <c r="H44" s="67"/>
      <c r="I44" s="67"/>
      <c r="J44" s="67">
        <f>IF(($J$14-H44)*J$17&gt;100,100,($J$14-H44)*J$17)</f>
        <v>100</v>
      </c>
      <c r="K44" s="67">
        <f t="shared" si="4"/>
        <v>0</v>
      </c>
      <c r="L44" s="67"/>
      <c r="M44" s="67"/>
      <c r="N44" s="48">
        <f t="shared" si="5"/>
        <v>0</v>
      </c>
      <c r="O44" s="67"/>
      <c r="P44" s="67"/>
      <c r="Q44" s="48">
        <f t="shared" si="6"/>
        <v>0</v>
      </c>
    </row>
    <row r="45" spans="3:17" ht="27">
      <c r="C45" s="91"/>
      <c r="D45" s="483" t="s">
        <v>410</v>
      </c>
      <c r="E45" s="67"/>
      <c r="F45" s="67"/>
      <c r="G45" s="509">
        <f>SUMIF(J38:J44,"&lt;100",G38:G44)</f>
        <v>0</v>
      </c>
      <c r="H45" s="67"/>
      <c r="I45" s="67"/>
      <c r="K45" s="67"/>
      <c r="L45" s="67"/>
      <c r="M45" s="67"/>
      <c r="N45" s="48"/>
      <c r="O45" s="67"/>
      <c r="P45" s="67"/>
      <c r="Q45" s="48"/>
    </row>
    <row r="46" spans="1:17" ht="42.75">
      <c r="A46" s="333"/>
      <c r="B46" s="333"/>
      <c r="C46" s="330">
        <v>2</v>
      </c>
      <c r="D46" s="331" t="s">
        <v>267</v>
      </c>
      <c r="E46" s="331"/>
      <c r="F46" s="332"/>
      <c r="G46" s="334">
        <f>SUM(G47:G53)</f>
        <v>39</v>
      </c>
      <c r="H46" s="333"/>
      <c r="I46" s="333"/>
      <c r="J46" s="333"/>
      <c r="K46" s="333"/>
      <c r="L46" s="334">
        <v>0</v>
      </c>
      <c r="M46" s="333"/>
      <c r="N46" s="334">
        <f>SUM(N47:N49)</f>
        <v>0</v>
      </c>
      <c r="O46" s="334">
        <v>0</v>
      </c>
      <c r="P46" s="333"/>
      <c r="Q46" s="334">
        <f>SUM(Q47:Q49)</f>
        <v>0</v>
      </c>
    </row>
    <row r="47" spans="3:17" ht="14.25">
      <c r="C47" s="91"/>
      <c r="D47" s="69" t="s">
        <v>570</v>
      </c>
      <c r="E47" s="69"/>
      <c r="F47" s="67" t="s">
        <v>569</v>
      </c>
      <c r="G47" s="67">
        <v>18</v>
      </c>
      <c r="H47" s="67">
        <v>2006</v>
      </c>
      <c r="I47" s="67">
        <v>1080</v>
      </c>
      <c r="J47" s="67">
        <v>100</v>
      </c>
      <c r="K47" s="67">
        <f aca="true" t="shared" si="7" ref="K47:K52">IF(J47=100,0,I47-I47*J47%)</f>
        <v>0</v>
      </c>
      <c r="L47" s="67">
        <v>0</v>
      </c>
      <c r="M47" s="67">
        <v>0</v>
      </c>
      <c r="N47" s="48">
        <f>+L47*M47</f>
        <v>0</v>
      </c>
      <c r="O47" s="67">
        <v>0</v>
      </c>
      <c r="P47" s="67">
        <v>0</v>
      </c>
      <c r="Q47" s="48">
        <f>+O47*P47</f>
        <v>0</v>
      </c>
    </row>
    <row r="48" spans="3:17" ht="14.25">
      <c r="C48" s="91"/>
      <c r="D48" s="69" t="s">
        <v>570</v>
      </c>
      <c r="E48" s="69"/>
      <c r="F48" s="67" t="s">
        <v>569</v>
      </c>
      <c r="G48" s="67">
        <v>4</v>
      </c>
      <c r="H48" s="67">
        <v>2019</v>
      </c>
      <c r="I48" s="67">
        <v>305</v>
      </c>
      <c r="J48" s="67">
        <v>100</v>
      </c>
      <c r="K48" s="67">
        <f t="shared" si="7"/>
        <v>0</v>
      </c>
      <c r="L48" s="67"/>
      <c r="M48" s="67"/>
      <c r="N48" s="48"/>
      <c r="O48" s="67"/>
      <c r="P48" s="67"/>
      <c r="Q48" s="48"/>
    </row>
    <row r="49" spans="3:17" ht="14.25">
      <c r="C49" s="91"/>
      <c r="D49" s="69" t="s">
        <v>571</v>
      </c>
      <c r="E49" s="69"/>
      <c r="F49" s="67" t="s">
        <v>569</v>
      </c>
      <c r="G49" s="67">
        <v>6</v>
      </c>
      <c r="H49" s="67">
        <v>2010</v>
      </c>
      <c r="I49" s="67">
        <v>720</v>
      </c>
      <c r="J49" s="67">
        <v>100</v>
      </c>
      <c r="K49" s="67">
        <f t="shared" si="7"/>
        <v>0</v>
      </c>
      <c r="L49" s="67"/>
      <c r="M49" s="67"/>
      <c r="N49" s="48">
        <f>+L49*M49</f>
        <v>0</v>
      </c>
      <c r="O49" s="67"/>
      <c r="P49" s="67"/>
      <c r="Q49" s="48">
        <f>+O49*P49</f>
        <v>0</v>
      </c>
    </row>
    <row r="50" spans="3:17" ht="14.25">
      <c r="C50" s="91"/>
      <c r="D50" s="69" t="s">
        <v>571</v>
      </c>
      <c r="E50" s="69"/>
      <c r="F50" s="67" t="s">
        <v>569</v>
      </c>
      <c r="G50" s="67">
        <v>8</v>
      </c>
      <c r="H50" s="67">
        <v>2023</v>
      </c>
      <c r="I50" s="67">
        <v>1390</v>
      </c>
      <c r="J50" s="67">
        <v>10</v>
      </c>
      <c r="K50" s="67">
        <f t="shared" si="7"/>
        <v>1251</v>
      </c>
      <c r="L50" s="67"/>
      <c r="M50" s="67"/>
      <c r="N50" s="48"/>
      <c r="O50" s="67"/>
      <c r="P50" s="67"/>
      <c r="Q50" s="48"/>
    </row>
    <row r="51" spans="3:17" ht="14.25">
      <c r="C51" s="91"/>
      <c r="D51" s="69" t="s">
        <v>534</v>
      </c>
      <c r="E51" s="69"/>
      <c r="F51" s="67" t="s">
        <v>569</v>
      </c>
      <c r="G51" s="67">
        <v>1</v>
      </c>
      <c r="H51" s="67">
        <v>2021</v>
      </c>
      <c r="I51" s="67">
        <v>459</v>
      </c>
      <c r="J51" s="67">
        <f>IF(($J$14-H51)*J$27&gt;100,100,($J$14-H51)*J$27)</f>
        <v>0</v>
      </c>
      <c r="K51" s="67">
        <f t="shared" si="7"/>
        <v>459</v>
      </c>
      <c r="L51" s="67"/>
      <c r="M51" s="67"/>
      <c r="N51" s="48"/>
      <c r="O51" s="67"/>
      <c r="P51" s="67"/>
      <c r="Q51" s="48"/>
    </row>
    <row r="52" spans="3:17" ht="14.25">
      <c r="C52" s="91"/>
      <c r="D52" s="69" t="s">
        <v>534</v>
      </c>
      <c r="E52" s="69"/>
      <c r="F52" s="67" t="s">
        <v>569</v>
      </c>
      <c r="G52" s="67">
        <v>2</v>
      </c>
      <c r="H52" s="67">
        <v>2019</v>
      </c>
      <c r="I52" s="67">
        <v>672</v>
      </c>
      <c r="J52" s="67">
        <f>IF(($J$14-H52)*J$27&gt;100,100,($J$14-H52)*J$27)</f>
        <v>0</v>
      </c>
      <c r="K52" s="67">
        <f t="shared" si="7"/>
        <v>672</v>
      </c>
      <c r="L52" s="67"/>
      <c r="M52" s="67"/>
      <c r="N52" s="48">
        <f>+L52*M52</f>
        <v>0</v>
      </c>
      <c r="O52" s="67"/>
      <c r="P52" s="67"/>
      <c r="Q52" s="48">
        <f>+O52*P52</f>
        <v>0</v>
      </c>
    </row>
    <row r="53" spans="3:17" ht="13.5" hidden="1">
      <c r="C53" s="91"/>
      <c r="D53" s="335"/>
      <c r="E53" s="67"/>
      <c r="F53" s="67"/>
      <c r="G53" s="507"/>
      <c r="H53" s="67"/>
      <c r="I53" s="67"/>
      <c r="J53" s="67">
        <f>IF(($J$14-H53)*J$17&gt;100,100,($J$14-H53)*J$17)</f>
        <v>100</v>
      </c>
      <c r="K53" s="67">
        <f>IF(J53=100,0,I53-I53*J53%)</f>
        <v>0</v>
      </c>
      <c r="L53" s="67"/>
      <c r="M53" s="67"/>
      <c r="N53" s="48">
        <f>+L53*M53</f>
        <v>0</v>
      </c>
      <c r="O53" s="67"/>
      <c r="P53" s="67"/>
      <c r="Q53" s="48">
        <f>+O53*P53</f>
        <v>0</v>
      </c>
    </row>
    <row r="54" spans="3:17" ht="27">
      <c r="C54" s="91"/>
      <c r="D54" s="483" t="s">
        <v>410</v>
      </c>
      <c r="E54" s="67"/>
      <c r="F54" s="67"/>
      <c r="G54" s="509">
        <f>SUMIF(J47:J53,"&lt;100",G47:G53)</f>
        <v>11</v>
      </c>
      <c r="H54" s="67"/>
      <c r="I54" s="67"/>
      <c r="K54" s="67"/>
      <c r="L54" s="67"/>
      <c r="M54" s="67"/>
      <c r="N54" s="48"/>
      <c r="O54" s="67"/>
      <c r="P54" s="67"/>
      <c r="Q54" s="48"/>
    </row>
    <row r="55" spans="1:17" ht="28.5">
      <c r="A55" s="333"/>
      <c r="B55" s="333"/>
      <c r="C55" s="330">
        <v>3</v>
      </c>
      <c r="D55" s="331" t="s">
        <v>268</v>
      </c>
      <c r="E55" s="331"/>
      <c r="F55" s="332"/>
      <c r="G55" s="334">
        <f>SUM(G56:G62)</f>
        <v>0</v>
      </c>
      <c r="H55" s="333"/>
      <c r="I55" s="333"/>
      <c r="J55" s="333"/>
      <c r="K55" s="333"/>
      <c r="L55" s="334">
        <f>SUM(L56:L58)</f>
        <v>0</v>
      </c>
      <c r="M55" s="333"/>
      <c r="N55" s="334">
        <f>SUM(N56:N58)</f>
        <v>0</v>
      </c>
      <c r="O55" s="334">
        <f>SUM(O56:O58)</f>
        <v>0</v>
      </c>
      <c r="P55" s="333"/>
      <c r="Q55" s="334">
        <f>SUM(Q56:Q58)</f>
        <v>0</v>
      </c>
    </row>
    <row r="56" spans="3:17" ht="14.25">
      <c r="C56" s="91"/>
      <c r="D56" s="69"/>
      <c r="E56" s="69"/>
      <c r="F56" s="67"/>
      <c r="G56" s="507"/>
      <c r="H56" s="67"/>
      <c r="I56" s="67"/>
      <c r="J56" s="67">
        <f>IF(($J$14-H56)*J$36&gt;100,100,($J$14-H56)*J$36)</f>
        <v>100</v>
      </c>
      <c r="K56" s="67">
        <f aca="true" t="shared" si="8" ref="K56:K62">IF(J56=100,0,I56-I56*J56%)</f>
        <v>0</v>
      </c>
      <c r="L56" s="67"/>
      <c r="M56" s="67"/>
      <c r="N56" s="48">
        <f aca="true" t="shared" si="9" ref="N56:N62">+L56*M56</f>
        <v>0</v>
      </c>
      <c r="O56" s="67"/>
      <c r="P56" s="67"/>
      <c r="Q56" s="48">
        <f aca="true" t="shared" si="10" ref="Q56:Q62">+O56*P56</f>
        <v>0</v>
      </c>
    </row>
    <row r="57" spans="3:17" ht="14.25">
      <c r="C57" s="91"/>
      <c r="D57" s="69"/>
      <c r="E57" s="69"/>
      <c r="F57" s="67"/>
      <c r="G57" s="507"/>
      <c r="H57" s="67"/>
      <c r="I57" s="67"/>
      <c r="J57" s="67">
        <f>IF(($J$14-H57)*J$36&gt;100,100,($J$14-H57)*J$36)</f>
        <v>100</v>
      </c>
      <c r="K57" s="67">
        <f t="shared" si="8"/>
        <v>0</v>
      </c>
      <c r="L57" s="67"/>
      <c r="M57" s="67"/>
      <c r="N57" s="48">
        <f t="shared" si="9"/>
        <v>0</v>
      </c>
      <c r="O57" s="67"/>
      <c r="P57" s="67"/>
      <c r="Q57" s="48">
        <f t="shared" si="10"/>
        <v>0</v>
      </c>
    </row>
    <row r="58" spans="3:17" ht="14.25">
      <c r="C58" s="91"/>
      <c r="D58" s="69"/>
      <c r="E58" s="69"/>
      <c r="F58" s="67"/>
      <c r="G58" s="507"/>
      <c r="H58" s="67"/>
      <c r="I58" s="67"/>
      <c r="J58" s="67">
        <f>IF(($J$14-H58)*J$36&gt;100,100,($J$14-H58)*J$36)</f>
        <v>100</v>
      </c>
      <c r="K58" s="67">
        <f t="shared" si="8"/>
        <v>0</v>
      </c>
      <c r="L58" s="67"/>
      <c r="M58" s="67"/>
      <c r="N58" s="48">
        <f t="shared" si="9"/>
        <v>0</v>
      </c>
      <c r="O58" s="67"/>
      <c r="P58" s="67"/>
      <c r="Q58" s="48">
        <f t="shared" si="10"/>
        <v>0</v>
      </c>
    </row>
    <row r="59" spans="3:17" ht="13.5">
      <c r="C59" s="91"/>
      <c r="D59" s="335"/>
      <c r="E59" s="67"/>
      <c r="F59" s="67"/>
      <c r="G59" s="507"/>
      <c r="H59" s="67"/>
      <c r="I59" s="67"/>
      <c r="J59" s="67">
        <f>IF(($J$14-H59)*J$17&gt;100,100,($J$14-H59)*J$17)</f>
        <v>100</v>
      </c>
      <c r="K59" s="67">
        <f t="shared" si="8"/>
        <v>0</v>
      </c>
      <c r="L59" s="67"/>
      <c r="M59" s="67"/>
      <c r="N59" s="48">
        <f t="shared" si="9"/>
        <v>0</v>
      </c>
      <c r="O59" s="67"/>
      <c r="P59" s="67"/>
      <c r="Q59" s="48">
        <f t="shared" si="10"/>
        <v>0</v>
      </c>
    </row>
    <row r="60" spans="3:17" ht="13.5">
      <c r="C60" s="91"/>
      <c r="D60" s="335"/>
      <c r="E60" s="67"/>
      <c r="F60" s="67"/>
      <c r="G60" s="507"/>
      <c r="H60" s="67"/>
      <c r="I60" s="67"/>
      <c r="J60" s="67">
        <f>IF(($J$14-H60)*J$17&gt;100,100,($J$14-H60)*J$17)</f>
        <v>100</v>
      </c>
      <c r="K60" s="67">
        <f t="shared" si="8"/>
        <v>0</v>
      </c>
      <c r="L60" s="67"/>
      <c r="M60" s="67"/>
      <c r="N60" s="48">
        <f t="shared" si="9"/>
        <v>0</v>
      </c>
      <c r="O60" s="67"/>
      <c r="P60" s="67"/>
      <c r="Q60" s="48">
        <f t="shared" si="10"/>
        <v>0</v>
      </c>
    </row>
    <row r="61" spans="3:17" ht="13.5">
      <c r="C61" s="91"/>
      <c r="D61" s="335"/>
      <c r="E61" s="67"/>
      <c r="F61" s="67"/>
      <c r="G61" s="507"/>
      <c r="H61" s="67"/>
      <c r="I61" s="67"/>
      <c r="J61" s="67">
        <f>IF(($J$14-H61)*J$17&gt;100,100,($J$14-H61)*J$17)</f>
        <v>100</v>
      </c>
      <c r="K61" s="67">
        <f t="shared" si="8"/>
        <v>0</v>
      </c>
      <c r="L61" s="67"/>
      <c r="M61" s="67"/>
      <c r="N61" s="48">
        <f t="shared" si="9"/>
        <v>0</v>
      </c>
      <c r="O61" s="67"/>
      <c r="P61" s="67"/>
      <c r="Q61" s="48">
        <f t="shared" si="10"/>
        <v>0</v>
      </c>
    </row>
    <row r="62" spans="3:17" ht="13.5" hidden="1">
      <c r="C62" s="91"/>
      <c r="D62" s="335"/>
      <c r="E62" s="67"/>
      <c r="F62" s="67"/>
      <c r="G62" s="507"/>
      <c r="H62" s="67"/>
      <c r="I62" s="67"/>
      <c r="J62" s="67">
        <f>IF(($J$14-H62)*J$17&gt;100,100,($J$14-H62)*J$17)</f>
        <v>100</v>
      </c>
      <c r="K62" s="67">
        <f t="shared" si="8"/>
        <v>0</v>
      </c>
      <c r="L62" s="67"/>
      <c r="M62" s="67"/>
      <c r="N62" s="48">
        <f t="shared" si="9"/>
        <v>0</v>
      </c>
      <c r="O62" s="67"/>
      <c r="P62" s="67"/>
      <c r="Q62" s="48">
        <f t="shared" si="10"/>
        <v>0</v>
      </c>
    </row>
    <row r="63" spans="3:17" ht="27">
      <c r="C63" s="91"/>
      <c r="D63" s="483" t="s">
        <v>410</v>
      </c>
      <c r="E63" s="67"/>
      <c r="F63" s="67"/>
      <c r="G63" s="509">
        <f>SUMIF(J56:J62,"&lt;100",G56:G62)</f>
        <v>0</v>
      </c>
      <c r="H63" s="67"/>
      <c r="I63" s="67"/>
      <c r="K63" s="67"/>
      <c r="L63" s="67"/>
      <c r="M63" s="67"/>
      <c r="N63" s="48"/>
      <c r="O63" s="67"/>
      <c r="P63" s="67"/>
      <c r="Q63" s="48"/>
    </row>
    <row r="64" spans="1:17" ht="30" customHeight="1">
      <c r="A64" s="356"/>
      <c r="B64" s="356"/>
      <c r="C64" s="355">
        <v>619</v>
      </c>
      <c r="D64" s="339" t="s">
        <v>277</v>
      </c>
      <c r="E64" s="340">
        <v>8</v>
      </c>
      <c r="F64" s="67"/>
      <c r="G64" s="334">
        <f>SUM(G65:G71)</f>
        <v>0</v>
      </c>
      <c r="H64" s="67"/>
      <c r="I64" s="67"/>
      <c r="J64" s="340">
        <v>12.5</v>
      </c>
      <c r="K64" s="67"/>
      <c r="L64" s="329">
        <f>SUM(L65:L67)</f>
        <v>8</v>
      </c>
      <c r="M64" s="67"/>
      <c r="N64" s="329">
        <f>SUM(N65:N67)</f>
        <v>1600</v>
      </c>
      <c r="O64" s="329">
        <f>SUM(O65:O67)</f>
        <v>8</v>
      </c>
      <c r="P64" s="67"/>
      <c r="Q64" s="329">
        <f>SUM(Q65:Q67)</f>
        <v>1600</v>
      </c>
    </row>
    <row r="65" spans="3:17" ht="14.25">
      <c r="C65" s="91"/>
      <c r="D65" s="69" t="s">
        <v>577</v>
      </c>
      <c r="E65" s="69"/>
      <c r="F65" s="67"/>
      <c r="G65" s="67"/>
      <c r="H65" s="67"/>
      <c r="I65" s="67"/>
      <c r="J65" s="67">
        <f>IF(($J$14-H65)*J$42&gt;100,100,($J$14-H65)*J$42)</f>
        <v>100</v>
      </c>
      <c r="K65" s="67">
        <f aca="true" t="shared" si="11" ref="K65:K71">IF(J65=100,0,I65-I65*J65%)</f>
        <v>0</v>
      </c>
      <c r="L65" s="67">
        <v>7</v>
      </c>
      <c r="M65" s="67">
        <v>150</v>
      </c>
      <c r="N65" s="48">
        <f aca="true" t="shared" si="12" ref="N65:N71">+L65*M65</f>
        <v>1050</v>
      </c>
      <c r="O65" s="67">
        <v>7</v>
      </c>
      <c r="P65" s="67">
        <v>150</v>
      </c>
      <c r="Q65" s="48">
        <f aca="true" t="shared" si="13" ref="Q65:Q71">+O65*P65</f>
        <v>1050</v>
      </c>
    </row>
    <row r="66" spans="3:17" ht="14.25">
      <c r="C66" s="91"/>
      <c r="D66" s="69" t="s">
        <v>534</v>
      </c>
      <c r="E66" s="69"/>
      <c r="F66" s="67"/>
      <c r="G66" s="67"/>
      <c r="H66" s="67"/>
      <c r="I66" s="67"/>
      <c r="J66" s="67">
        <f>IF(($J$14-H66)*J$42&gt;100,100,($J$14-H66)*J$42)</f>
        <v>100</v>
      </c>
      <c r="K66" s="67">
        <f t="shared" si="11"/>
        <v>0</v>
      </c>
      <c r="L66" s="67">
        <v>1</v>
      </c>
      <c r="M66" s="67">
        <v>550</v>
      </c>
      <c r="N66" s="48">
        <f t="shared" si="12"/>
        <v>550</v>
      </c>
      <c r="O66" s="67">
        <v>1</v>
      </c>
      <c r="P66" s="67">
        <v>550</v>
      </c>
      <c r="Q66" s="48">
        <f t="shared" si="13"/>
        <v>550</v>
      </c>
    </row>
    <row r="67" spans="3:17" ht="14.25">
      <c r="C67" s="91"/>
      <c r="D67" s="69"/>
      <c r="E67" s="69"/>
      <c r="F67" s="67"/>
      <c r="G67" s="507"/>
      <c r="H67" s="67"/>
      <c r="I67" s="67"/>
      <c r="J67" s="67">
        <f>IF(($J$14-H67)*J$64&gt;100,100,($J$14-H67)*J$64)</f>
        <v>100</v>
      </c>
      <c r="K67" s="67">
        <f t="shared" si="11"/>
        <v>0</v>
      </c>
      <c r="L67" s="67"/>
      <c r="M67" s="67"/>
      <c r="N67" s="48">
        <f t="shared" si="12"/>
        <v>0</v>
      </c>
      <c r="O67" s="67"/>
      <c r="P67" s="67"/>
      <c r="Q67" s="48">
        <f t="shared" si="13"/>
        <v>0</v>
      </c>
    </row>
    <row r="68" spans="3:17" ht="13.5">
      <c r="C68" s="91"/>
      <c r="D68" s="335"/>
      <c r="E68" s="67"/>
      <c r="F68" s="67"/>
      <c r="G68" s="507"/>
      <c r="H68" s="67"/>
      <c r="I68" s="67"/>
      <c r="J68" s="67">
        <f>IF(($J$14-H68)*J$17&gt;100,100,($J$14-H68)*J$17)</f>
        <v>100</v>
      </c>
      <c r="K68" s="67">
        <f t="shared" si="11"/>
        <v>0</v>
      </c>
      <c r="L68" s="67"/>
      <c r="M68" s="67"/>
      <c r="N68" s="48">
        <f t="shared" si="12"/>
        <v>0</v>
      </c>
      <c r="O68" s="67"/>
      <c r="P68" s="67"/>
      <c r="Q68" s="48">
        <f t="shared" si="13"/>
        <v>0</v>
      </c>
    </row>
    <row r="69" spans="3:17" ht="13.5">
      <c r="C69" s="91"/>
      <c r="D69" s="335"/>
      <c r="E69" s="67"/>
      <c r="F69" s="67"/>
      <c r="G69" s="507"/>
      <c r="H69" s="67"/>
      <c r="I69" s="67"/>
      <c r="J69" s="67">
        <f>IF(($J$14-H69)*J$17&gt;100,100,($J$14-H69)*J$17)</f>
        <v>100</v>
      </c>
      <c r="K69" s="67">
        <f t="shared" si="11"/>
        <v>0</v>
      </c>
      <c r="L69" s="67"/>
      <c r="M69" s="67"/>
      <c r="N69" s="48">
        <f t="shared" si="12"/>
        <v>0</v>
      </c>
      <c r="O69" s="67"/>
      <c r="P69" s="67"/>
      <c r="Q69" s="48">
        <f t="shared" si="13"/>
        <v>0</v>
      </c>
    </row>
    <row r="70" spans="3:17" ht="13.5">
      <c r="C70" s="91"/>
      <c r="D70" s="335"/>
      <c r="E70" s="67"/>
      <c r="F70" s="67"/>
      <c r="G70" s="507"/>
      <c r="H70" s="67"/>
      <c r="I70" s="67"/>
      <c r="J70" s="67">
        <f>IF(($J$14-H70)*J$17&gt;100,100,($J$14-H70)*J$17)</f>
        <v>100</v>
      </c>
      <c r="K70" s="67">
        <f t="shared" si="11"/>
        <v>0</v>
      </c>
      <c r="L70" s="67"/>
      <c r="M70" s="67"/>
      <c r="N70" s="48">
        <f t="shared" si="12"/>
        <v>0</v>
      </c>
      <c r="O70" s="67"/>
      <c r="P70" s="67"/>
      <c r="Q70" s="48">
        <f t="shared" si="13"/>
        <v>0</v>
      </c>
    </row>
    <row r="71" spans="3:17" ht="13.5" hidden="1">
      <c r="C71" s="91"/>
      <c r="D71" s="335"/>
      <c r="E71" s="67"/>
      <c r="F71" s="67"/>
      <c r="G71" s="507"/>
      <c r="H71" s="67"/>
      <c r="I71" s="67"/>
      <c r="J71" s="67">
        <f>IF(($J$14-H71)*J$17&gt;100,100,($J$14-H71)*J$17)</f>
        <v>100</v>
      </c>
      <c r="K71" s="67">
        <f t="shared" si="11"/>
        <v>0</v>
      </c>
      <c r="L71" s="67"/>
      <c r="M71" s="67"/>
      <c r="N71" s="48">
        <f t="shared" si="12"/>
        <v>0</v>
      </c>
      <c r="O71" s="67"/>
      <c r="P71" s="67"/>
      <c r="Q71" s="48">
        <f t="shared" si="13"/>
        <v>0</v>
      </c>
    </row>
    <row r="72" spans="3:17" ht="27">
      <c r="C72" s="91"/>
      <c r="D72" s="508" t="s">
        <v>410</v>
      </c>
      <c r="E72" s="67"/>
      <c r="F72" s="67"/>
      <c r="G72" s="509">
        <f>SUMIF(J65:J71,"&lt;100",G65:G71)</f>
        <v>0</v>
      </c>
      <c r="H72" s="67"/>
      <c r="I72" s="67"/>
      <c r="K72" s="67"/>
      <c r="L72" s="67"/>
      <c r="M72" s="67"/>
      <c r="N72" s="48"/>
      <c r="O72" s="67"/>
      <c r="P72" s="67"/>
      <c r="Q72" s="48"/>
    </row>
    <row r="73" spans="1:17" ht="32.25" customHeight="1">
      <c r="A73" s="356"/>
      <c r="B73" s="510">
        <v>62</v>
      </c>
      <c r="C73" s="511"/>
      <c r="D73" s="512" t="s">
        <v>279</v>
      </c>
      <c r="E73" s="513"/>
      <c r="F73" s="514"/>
      <c r="G73" s="515">
        <f>+G74+G86+G95+G104</f>
        <v>560</v>
      </c>
      <c r="H73" s="516"/>
      <c r="I73" s="516"/>
      <c r="J73" s="516"/>
      <c r="K73" s="516"/>
      <c r="L73" s="515">
        <f>+L74+L86+L95+L104</f>
        <v>41</v>
      </c>
      <c r="M73" s="516"/>
      <c r="N73" s="515">
        <f>+N74+N86+N95+N104</f>
        <v>800</v>
      </c>
      <c r="O73" s="515">
        <f>+O74+O86+O95+O104</f>
        <v>30</v>
      </c>
      <c r="P73" s="516"/>
      <c r="Q73" s="515">
        <f>+Q74+Q86+Q95+Q104</f>
        <v>300</v>
      </c>
    </row>
    <row r="74" spans="1:17" ht="66">
      <c r="A74" s="356"/>
      <c r="B74" s="356"/>
      <c r="C74" s="355">
        <v>620</v>
      </c>
      <c r="D74" s="339" t="s">
        <v>281</v>
      </c>
      <c r="E74" s="340">
        <v>10</v>
      </c>
      <c r="F74" s="67"/>
      <c r="G74" s="334">
        <f>SUM(G75:G84)</f>
        <v>560</v>
      </c>
      <c r="H74" s="67"/>
      <c r="I74" s="67"/>
      <c r="J74" s="340">
        <v>10</v>
      </c>
      <c r="K74" s="67"/>
      <c r="L74" s="329">
        <f>L75+L77+L79</f>
        <v>41</v>
      </c>
      <c r="M74" s="329"/>
      <c r="N74" s="329">
        <f>N75+N77+N79</f>
        <v>800</v>
      </c>
      <c r="O74" s="329">
        <f>O75+O77+O79</f>
        <v>30</v>
      </c>
      <c r="P74" s="329">
        <f>P75+P77+P79</f>
        <v>10</v>
      </c>
      <c r="Q74" s="329">
        <f>Q75+Q77+Q79</f>
        <v>300</v>
      </c>
    </row>
    <row r="75" spans="3:17" ht="13.5">
      <c r="C75" s="91"/>
      <c r="D75" s="67" t="s">
        <v>578</v>
      </c>
      <c r="E75" s="67"/>
      <c r="F75" s="67" t="s">
        <v>569</v>
      </c>
      <c r="G75" s="67">
        <v>210</v>
      </c>
      <c r="H75" s="67">
        <v>2006</v>
      </c>
      <c r="I75" s="67">
        <v>3780</v>
      </c>
      <c r="J75" s="67">
        <f aca="true" t="shared" si="14" ref="J75:J85">IF(($J$14-H75)*J$51&gt;100,100,($J$14-H75)*J$51)</f>
        <v>0</v>
      </c>
      <c r="K75" s="67">
        <f>IF(J75=100,0,I75-I75*J75%)</f>
        <v>3780</v>
      </c>
      <c r="L75" s="67">
        <v>30</v>
      </c>
      <c r="M75" s="67">
        <v>10</v>
      </c>
      <c r="N75" s="48">
        <f>+L75*M75</f>
        <v>300</v>
      </c>
      <c r="O75" s="67">
        <v>30</v>
      </c>
      <c r="P75" s="67">
        <v>10</v>
      </c>
      <c r="Q75" s="48">
        <f>+O75*P75</f>
        <v>300</v>
      </c>
    </row>
    <row r="76" spans="3:17" ht="13.5">
      <c r="C76" s="91"/>
      <c r="D76" s="67" t="s">
        <v>578</v>
      </c>
      <c r="E76" s="67"/>
      <c r="F76" s="67" t="s">
        <v>569</v>
      </c>
      <c r="G76" s="67">
        <v>100</v>
      </c>
      <c r="H76" s="67">
        <v>2019</v>
      </c>
      <c r="I76" s="67">
        <v>690</v>
      </c>
      <c r="J76" s="67">
        <f t="shared" si="14"/>
        <v>0</v>
      </c>
      <c r="K76" s="67">
        <f aca="true" t="shared" si="15" ref="K76:K85">IF(J76=100,0,I76-I76*J76%)</f>
        <v>690</v>
      </c>
      <c r="L76" s="67"/>
      <c r="M76" s="67"/>
      <c r="N76" s="48">
        <f>+L76*M76</f>
        <v>0</v>
      </c>
      <c r="O76" s="67"/>
      <c r="P76" s="67"/>
      <c r="Q76" s="48">
        <f aca="true" t="shared" si="16" ref="Q76:Q86">+O76*P76</f>
        <v>0</v>
      </c>
    </row>
    <row r="77" spans="3:17" ht="13.5">
      <c r="C77" s="91"/>
      <c r="D77" s="67" t="s">
        <v>579</v>
      </c>
      <c r="E77" s="67"/>
      <c r="F77" s="67" t="s">
        <v>569</v>
      </c>
      <c r="G77" s="67">
        <v>120</v>
      </c>
      <c r="H77" s="67">
        <v>2006</v>
      </c>
      <c r="I77" s="67">
        <v>4050</v>
      </c>
      <c r="J77" s="67">
        <f t="shared" si="14"/>
        <v>0</v>
      </c>
      <c r="K77" s="67">
        <f t="shared" si="15"/>
        <v>4050</v>
      </c>
      <c r="L77" s="67">
        <v>5</v>
      </c>
      <c r="M77" s="67">
        <v>40</v>
      </c>
      <c r="N77" s="48">
        <f>+L77*M77</f>
        <v>200</v>
      </c>
      <c r="O77" s="67"/>
      <c r="P77" s="67"/>
      <c r="Q77" s="48">
        <f t="shared" si="16"/>
        <v>0</v>
      </c>
    </row>
    <row r="78" spans="3:17" ht="13.5">
      <c r="C78" s="91"/>
      <c r="D78" s="67" t="s">
        <v>579</v>
      </c>
      <c r="E78" s="67"/>
      <c r="F78" s="67" t="s">
        <v>569</v>
      </c>
      <c r="G78" s="67">
        <v>15</v>
      </c>
      <c r="H78" s="67">
        <v>2019</v>
      </c>
      <c r="I78" s="67">
        <v>435</v>
      </c>
      <c r="J78" s="67">
        <f t="shared" si="14"/>
        <v>0</v>
      </c>
      <c r="K78" s="67">
        <f t="shared" si="15"/>
        <v>435</v>
      </c>
      <c r="L78" s="67"/>
      <c r="M78" s="67"/>
      <c r="N78" s="48">
        <f>+L78*M78</f>
        <v>0</v>
      </c>
      <c r="O78" s="67"/>
      <c r="P78" s="67"/>
      <c r="Q78" s="48">
        <f t="shared" si="16"/>
        <v>0</v>
      </c>
    </row>
    <row r="79" spans="3:17" ht="13.5">
      <c r="C79" s="91"/>
      <c r="D79" s="67" t="s">
        <v>538</v>
      </c>
      <c r="E79" s="67"/>
      <c r="F79" s="67" t="s">
        <v>569</v>
      </c>
      <c r="G79" s="67">
        <v>90</v>
      </c>
      <c r="H79" s="67">
        <v>2006</v>
      </c>
      <c r="I79" s="67">
        <v>8010</v>
      </c>
      <c r="J79" s="67">
        <f t="shared" si="14"/>
        <v>0</v>
      </c>
      <c r="K79" s="67">
        <f t="shared" si="15"/>
        <v>8010</v>
      </c>
      <c r="L79" s="67">
        <v>6</v>
      </c>
      <c r="M79" s="67">
        <v>50</v>
      </c>
      <c r="N79" s="48">
        <f>+L79*M79</f>
        <v>300</v>
      </c>
      <c r="O79" s="67"/>
      <c r="P79" s="67"/>
      <c r="Q79" s="48">
        <f t="shared" si="16"/>
        <v>0</v>
      </c>
    </row>
    <row r="80" spans="3:17" ht="13.5">
      <c r="C80" s="91"/>
      <c r="D80" s="67" t="s">
        <v>538</v>
      </c>
      <c r="E80" s="67"/>
      <c r="F80" s="67" t="s">
        <v>569</v>
      </c>
      <c r="G80" s="67">
        <v>10</v>
      </c>
      <c r="H80" s="67">
        <v>2019</v>
      </c>
      <c r="I80" s="67">
        <v>385</v>
      </c>
      <c r="J80" s="67">
        <f t="shared" si="14"/>
        <v>0</v>
      </c>
      <c r="K80" s="67">
        <f t="shared" si="15"/>
        <v>385</v>
      </c>
      <c r="L80" s="67"/>
      <c r="M80" s="67"/>
      <c r="N80" s="48"/>
      <c r="O80" s="67"/>
      <c r="P80" s="67"/>
      <c r="Q80" s="48">
        <f t="shared" si="16"/>
        <v>0</v>
      </c>
    </row>
    <row r="81" spans="3:17" ht="13.5">
      <c r="C81" s="91"/>
      <c r="D81" s="67" t="s">
        <v>580</v>
      </c>
      <c r="E81" s="67"/>
      <c r="F81" s="67" t="s">
        <v>569</v>
      </c>
      <c r="G81" s="67">
        <v>5</v>
      </c>
      <c r="H81" s="67">
        <v>2006</v>
      </c>
      <c r="I81" s="67">
        <v>3500</v>
      </c>
      <c r="J81" s="67">
        <f t="shared" si="14"/>
        <v>0</v>
      </c>
      <c r="K81" s="67">
        <f t="shared" si="15"/>
        <v>3500</v>
      </c>
      <c r="L81" s="67"/>
      <c r="M81" s="67"/>
      <c r="N81" s="48"/>
      <c r="O81" s="67"/>
      <c r="P81" s="67"/>
      <c r="Q81" s="48">
        <f t="shared" si="16"/>
        <v>0</v>
      </c>
    </row>
    <row r="82" spans="3:17" ht="13.5">
      <c r="C82" s="91"/>
      <c r="D82" s="67" t="s">
        <v>581</v>
      </c>
      <c r="E82" s="67"/>
      <c r="F82" s="67" t="s">
        <v>569</v>
      </c>
      <c r="G82" s="67">
        <v>4</v>
      </c>
      <c r="H82" s="67">
        <v>2006</v>
      </c>
      <c r="I82" s="67">
        <v>6400</v>
      </c>
      <c r="J82" s="67">
        <f t="shared" si="14"/>
        <v>0</v>
      </c>
      <c r="K82" s="67">
        <f t="shared" si="15"/>
        <v>6400</v>
      </c>
      <c r="L82" s="67"/>
      <c r="M82" s="67"/>
      <c r="N82" s="48"/>
      <c r="O82" s="67"/>
      <c r="P82" s="67"/>
      <c r="Q82" s="48">
        <f t="shared" si="16"/>
        <v>0</v>
      </c>
    </row>
    <row r="83" spans="3:17" ht="13.5">
      <c r="C83" s="91"/>
      <c r="D83" s="67" t="s">
        <v>582</v>
      </c>
      <c r="E83" s="67"/>
      <c r="F83" s="67" t="s">
        <v>569</v>
      </c>
      <c r="G83" s="67">
        <v>4</v>
      </c>
      <c r="H83" s="67">
        <v>2006</v>
      </c>
      <c r="I83" s="67">
        <v>1650</v>
      </c>
      <c r="J83" s="67">
        <f t="shared" si="14"/>
        <v>0</v>
      </c>
      <c r="K83" s="67">
        <f t="shared" si="15"/>
        <v>1650</v>
      </c>
      <c r="L83" s="67"/>
      <c r="M83" s="67"/>
      <c r="N83" s="48"/>
      <c r="O83" s="67"/>
      <c r="P83" s="67"/>
      <c r="Q83" s="48">
        <f t="shared" si="16"/>
        <v>0</v>
      </c>
    </row>
    <row r="84" spans="3:17" ht="13.5" hidden="1">
      <c r="C84" s="91"/>
      <c r="D84" s="67" t="s">
        <v>583</v>
      </c>
      <c r="E84" s="67"/>
      <c r="F84" s="67" t="s">
        <v>569</v>
      </c>
      <c r="G84" s="67">
        <v>2</v>
      </c>
      <c r="H84" s="67">
        <v>2006</v>
      </c>
      <c r="I84" s="67">
        <v>2200</v>
      </c>
      <c r="J84" s="67">
        <f t="shared" si="14"/>
        <v>0</v>
      </c>
      <c r="K84" s="67">
        <f t="shared" si="15"/>
        <v>2200</v>
      </c>
      <c r="L84" s="67"/>
      <c r="M84" s="67"/>
      <c r="N84" s="48"/>
      <c r="O84" s="67"/>
      <c r="P84" s="67"/>
      <c r="Q84" s="48">
        <f t="shared" si="16"/>
        <v>0</v>
      </c>
    </row>
    <row r="85" spans="3:17" ht="13.5">
      <c r="C85" s="91"/>
      <c r="D85" s="67" t="s">
        <v>584</v>
      </c>
      <c r="E85" s="67"/>
      <c r="F85" s="67" t="s">
        <v>569</v>
      </c>
      <c r="G85" s="67">
        <v>4</v>
      </c>
      <c r="H85" s="67">
        <v>2006</v>
      </c>
      <c r="I85" s="67">
        <v>2600</v>
      </c>
      <c r="J85" s="67">
        <f t="shared" si="14"/>
        <v>0</v>
      </c>
      <c r="K85" s="67">
        <f t="shared" si="15"/>
        <v>2600</v>
      </c>
      <c r="L85" s="67"/>
      <c r="M85" s="67"/>
      <c r="N85" s="48"/>
      <c r="O85" s="67"/>
      <c r="P85" s="67"/>
      <c r="Q85" s="48">
        <f t="shared" si="16"/>
        <v>0</v>
      </c>
    </row>
    <row r="86" spans="1:17" ht="16.5">
      <c r="A86" s="356"/>
      <c r="B86" s="356"/>
      <c r="C86" s="355">
        <v>621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48"/>
      <c r="O86" s="67"/>
      <c r="P86" s="67"/>
      <c r="Q86" s="48">
        <f t="shared" si="16"/>
        <v>0</v>
      </c>
    </row>
    <row r="87" spans="3:17" ht="13.5">
      <c r="C87" s="91"/>
      <c r="D87" s="67" t="s">
        <v>585</v>
      </c>
      <c r="E87" s="67"/>
      <c r="F87" s="67" t="s">
        <v>569</v>
      </c>
      <c r="G87" s="67">
        <v>30</v>
      </c>
      <c r="H87" s="67">
        <v>2006</v>
      </c>
      <c r="I87" s="67">
        <v>1200</v>
      </c>
      <c r="J87" s="67">
        <f>IF(($J$14-H87)*J$51&gt;100,100,($J$14-H87)*J$51)</f>
        <v>0</v>
      </c>
      <c r="K87" s="67">
        <f aca="true" t="shared" si="17" ref="K87:K93">IF(J87=100,0,I87-I87*J87%)</f>
        <v>1200</v>
      </c>
      <c r="L87" s="67"/>
      <c r="M87" s="67"/>
      <c r="N87" s="48">
        <f aca="true" t="shared" si="18" ref="N87:N93">+L87*M87</f>
        <v>0</v>
      </c>
      <c r="O87" s="67"/>
      <c r="P87" s="67"/>
      <c r="Q87" s="48">
        <f aca="true" t="shared" si="19" ref="Q87:Q93">+O87*P87</f>
        <v>0</v>
      </c>
    </row>
    <row r="88" spans="3:17" ht="13.5">
      <c r="C88" s="91"/>
      <c r="D88" s="67" t="s">
        <v>586</v>
      </c>
      <c r="E88" s="67"/>
      <c r="F88" s="67" t="s">
        <v>569</v>
      </c>
      <c r="G88" s="67">
        <v>30</v>
      </c>
      <c r="H88" s="67">
        <v>2006</v>
      </c>
      <c r="I88" s="67">
        <v>1500</v>
      </c>
      <c r="J88" s="67">
        <f>IF(($J$14-H88)*J$51&gt;100,100,($J$14-H88)*J$51)</f>
        <v>0</v>
      </c>
      <c r="K88" s="67">
        <f t="shared" si="17"/>
        <v>1500</v>
      </c>
      <c r="L88" s="67"/>
      <c r="M88" s="67"/>
      <c r="N88" s="48">
        <f t="shared" si="18"/>
        <v>0</v>
      </c>
      <c r="O88" s="67"/>
      <c r="P88" s="67"/>
      <c r="Q88" s="48">
        <f t="shared" si="19"/>
        <v>0</v>
      </c>
    </row>
    <row r="89" spans="3:17" ht="14.25">
      <c r="C89" s="91"/>
      <c r="D89" s="69"/>
      <c r="E89" s="69"/>
      <c r="F89" s="67"/>
      <c r="G89" s="507"/>
      <c r="H89" s="67"/>
      <c r="I89" s="67"/>
      <c r="J89" s="67">
        <f>IF(($J$14-H89)*J$86&gt;100,100,($J$14-H89)*J$86)</f>
        <v>0</v>
      </c>
      <c r="K89" s="67">
        <f t="shared" si="17"/>
        <v>0</v>
      </c>
      <c r="L89" s="67"/>
      <c r="M89" s="67"/>
      <c r="N89" s="48">
        <f t="shared" si="18"/>
        <v>0</v>
      </c>
      <c r="O89" s="67"/>
      <c r="P89" s="67"/>
      <c r="Q89" s="48">
        <f t="shared" si="19"/>
        <v>0</v>
      </c>
    </row>
    <row r="90" spans="3:17" ht="14.25">
      <c r="C90" s="91"/>
      <c r="D90" s="69"/>
      <c r="E90" s="67"/>
      <c r="F90" s="67"/>
      <c r="G90" s="507"/>
      <c r="H90" s="67"/>
      <c r="I90" s="67"/>
      <c r="J90" s="67">
        <f>IF(($J$14-H90)*J$17&gt;100,100,($J$14-H90)*J$17)</f>
        <v>100</v>
      </c>
      <c r="K90" s="67">
        <f t="shared" si="17"/>
        <v>0</v>
      </c>
      <c r="L90" s="67"/>
      <c r="M90" s="67"/>
      <c r="N90" s="48">
        <f t="shared" si="18"/>
        <v>0</v>
      </c>
      <c r="O90" s="67"/>
      <c r="P90" s="67"/>
      <c r="Q90" s="48">
        <f t="shared" si="19"/>
        <v>0</v>
      </c>
    </row>
    <row r="91" spans="3:17" ht="14.25">
      <c r="C91" s="91"/>
      <c r="D91" s="69"/>
      <c r="E91" s="67"/>
      <c r="F91" s="67"/>
      <c r="G91" s="507"/>
      <c r="H91" s="67"/>
      <c r="I91" s="67"/>
      <c r="J91" s="67">
        <f>IF(($J$14-H91)*J$17&gt;100,100,($J$14-H91)*J$17)</f>
        <v>100</v>
      </c>
      <c r="K91" s="67">
        <f t="shared" si="17"/>
        <v>0</v>
      </c>
      <c r="L91" s="67"/>
      <c r="M91" s="67"/>
      <c r="N91" s="48">
        <f t="shared" si="18"/>
        <v>0</v>
      </c>
      <c r="O91" s="67"/>
      <c r="P91" s="67"/>
      <c r="Q91" s="48">
        <f t="shared" si="19"/>
        <v>0</v>
      </c>
    </row>
    <row r="92" spans="3:17" ht="14.25">
      <c r="C92" s="91"/>
      <c r="D92" s="69"/>
      <c r="E92" s="67"/>
      <c r="F92" s="67"/>
      <c r="G92" s="507"/>
      <c r="H92" s="67"/>
      <c r="I92" s="67"/>
      <c r="J92" s="67">
        <f>IF(($J$14-H92)*J$17&gt;100,100,($J$14-H92)*J$17)</f>
        <v>100</v>
      </c>
      <c r="K92" s="67">
        <f t="shared" si="17"/>
        <v>0</v>
      </c>
      <c r="L92" s="67"/>
      <c r="M92" s="67"/>
      <c r="N92" s="48">
        <f t="shared" si="18"/>
        <v>0</v>
      </c>
      <c r="O92" s="67"/>
      <c r="P92" s="67"/>
      <c r="Q92" s="48">
        <f t="shared" si="19"/>
        <v>0</v>
      </c>
    </row>
    <row r="93" spans="3:17" ht="14.25" hidden="1">
      <c r="C93" s="91"/>
      <c r="D93" s="69"/>
      <c r="E93" s="67"/>
      <c r="F93" s="67"/>
      <c r="G93" s="507"/>
      <c r="H93" s="67"/>
      <c r="I93" s="67"/>
      <c r="J93" s="67">
        <f>IF(($J$14-H93)*J$17&gt;100,100,($J$14-H93)*J$17)</f>
        <v>100</v>
      </c>
      <c r="K93" s="67">
        <f t="shared" si="17"/>
        <v>0</v>
      </c>
      <c r="L93" s="67"/>
      <c r="M93" s="67"/>
      <c r="N93" s="48">
        <f t="shared" si="18"/>
        <v>0</v>
      </c>
      <c r="O93" s="67"/>
      <c r="P93" s="67"/>
      <c r="Q93" s="48">
        <f t="shared" si="19"/>
        <v>0</v>
      </c>
    </row>
    <row r="94" spans="3:17" ht="27">
      <c r="C94" s="91"/>
      <c r="D94" s="483" t="s">
        <v>410</v>
      </c>
      <c r="E94" s="67"/>
      <c r="F94" s="67"/>
      <c r="G94" s="509">
        <f>SUMIF(J87:J93,"&lt;100",G87:G93)</f>
        <v>60</v>
      </c>
      <c r="H94" s="67"/>
      <c r="I94" s="67"/>
      <c r="K94" s="67"/>
      <c r="L94" s="67"/>
      <c r="M94" s="67"/>
      <c r="N94" s="48"/>
      <c r="O94" s="67"/>
      <c r="P94" s="67"/>
      <c r="Q94" s="48"/>
    </row>
    <row r="95" spans="1:17" ht="82.5">
      <c r="A95" s="356"/>
      <c r="B95" s="356"/>
      <c r="C95" s="355">
        <v>622</v>
      </c>
      <c r="D95" s="339" t="s">
        <v>280</v>
      </c>
      <c r="E95" s="340">
        <v>8</v>
      </c>
      <c r="F95" s="67"/>
      <c r="G95" s="334">
        <f>SUM(G96:G102)</f>
        <v>0</v>
      </c>
      <c r="H95" s="67"/>
      <c r="I95" s="67"/>
      <c r="J95" s="340">
        <v>12.5</v>
      </c>
      <c r="K95" s="67"/>
      <c r="L95" s="329">
        <f>SUM(L96:L98)</f>
        <v>0</v>
      </c>
      <c r="M95" s="67"/>
      <c r="N95" s="329">
        <f aca="true" t="shared" si="20" ref="N95:N102">+L95*M95</f>
        <v>0</v>
      </c>
      <c r="O95" s="329"/>
      <c r="P95" s="67"/>
      <c r="Q95" s="329">
        <f aca="true" t="shared" si="21" ref="Q95:Q102">+O95*P95</f>
        <v>0</v>
      </c>
    </row>
    <row r="96" spans="3:17" ht="14.25">
      <c r="C96" s="91"/>
      <c r="D96" s="69"/>
      <c r="E96" s="69"/>
      <c r="F96" s="67"/>
      <c r="G96" s="507"/>
      <c r="H96" s="67"/>
      <c r="I96" s="67"/>
      <c r="J96" s="67">
        <f>IF(($J$14-H96)*J$95&gt;100,100,($J$14-H96)*J$95)</f>
        <v>100</v>
      </c>
      <c r="K96" s="67">
        <f aca="true" t="shared" si="22" ref="K96:K102">IF(J96=100,0,I96-I96*J96%)</f>
        <v>0</v>
      </c>
      <c r="L96" s="67"/>
      <c r="M96" s="67"/>
      <c r="N96" s="48">
        <f t="shared" si="20"/>
        <v>0</v>
      </c>
      <c r="O96" s="67"/>
      <c r="P96" s="67"/>
      <c r="Q96" s="48">
        <f t="shared" si="21"/>
        <v>0</v>
      </c>
    </row>
    <row r="97" spans="3:17" ht="14.25">
      <c r="C97" s="91"/>
      <c r="D97" s="69"/>
      <c r="E97" s="69"/>
      <c r="F97" s="67"/>
      <c r="G97" s="507"/>
      <c r="H97" s="67"/>
      <c r="I97" s="67"/>
      <c r="J97" s="67">
        <f>IF(($J$14-H97)*J$95&gt;100,100,($J$14-H97)*J$95)</f>
        <v>100</v>
      </c>
      <c r="K97" s="67">
        <f t="shared" si="22"/>
        <v>0</v>
      </c>
      <c r="L97" s="67"/>
      <c r="M97" s="67"/>
      <c r="N97" s="48">
        <f t="shared" si="20"/>
        <v>0</v>
      </c>
      <c r="O97" s="67"/>
      <c r="P97" s="67"/>
      <c r="Q97" s="48">
        <f t="shared" si="21"/>
        <v>0</v>
      </c>
    </row>
    <row r="98" spans="3:17" ht="14.25">
      <c r="C98" s="91"/>
      <c r="D98" s="69"/>
      <c r="E98" s="69"/>
      <c r="F98" s="67"/>
      <c r="G98" s="507"/>
      <c r="H98" s="67"/>
      <c r="I98" s="67"/>
      <c r="J98" s="67">
        <f>IF(($J$14-H98)*J$95&gt;100,100,($J$14-H98)*J$95)</f>
        <v>100</v>
      </c>
      <c r="K98" s="67">
        <f t="shared" si="22"/>
        <v>0</v>
      </c>
      <c r="L98" s="67"/>
      <c r="M98" s="67"/>
      <c r="N98" s="48">
        <f t="shared" si="20"/>
        <v>0</v>
      </c>
      <c r="O98" s="67"/>
      <c r="P98" s="67"/>
      <c r="Q98" s="48">
        <f t="shared" si="21"/>
        <v>0</v>
      </c>
    </row>
    <row r="99" spans="3:17" ht="14.25">
      <c r="C99" s="91"/>
      <c r="D99" s="69"/>
      <c r="E99" s="67"/>
      <c r="F99" s="67"/>
      <c r="G99" s="507"/>
      <c r="H99" s="67"/>
      <c r="I99" s="67"/>
      <c r="J99" s="67">
        <f>IF(($J$14-H99)*J$17&gt;100,100,($J$14-H99)*J$17)</f>
        <v>100</v>
      </c>
      <c r="K99" s="67">
        <f t="shared" si="22"/>
        <v>0</v>
      </c>
      <c r="L99" s="67"/>
      <c r="M99" s="67"/>
      <c r="N99" s="48">
        <f t="shared" si="20"/>
        <v>0</v>
      </c>
      <c r="O99" s="67"/>
      <c r="P99" s="67"/>
      <c r="Q99" s="48">
        <f t="shared" si="21"/>
        <v>0</v>
      </c>
    </row>
    <row r="100" spans="3:17" ht="14.25">
      <c r="C100" s="91"/>
      <c r="D100" s="69"/>
      <c r="E100" s="67"/>
      <c r="F100" s="67"/>
      <c r="G100" s="507"/>
      <c r="H100" s="67"/>
      <c r="I100" s="67"/>
      <c r="J100" s="67">
        <f>IF(($J$14-H100)*J$17&gt;100,100,($J$14-H100)*J$17)</f>
        <v>100</v>
      </c>
      <c r="K100" s="67">
        <f t="shared" si="22"/>
        <v>0</v>
      </c>
      <c r="L100" s="67"/>
      <c r="M100" s="67"/>
      <c r="N100" s="48">
        <f t="shared" si="20"/>
        <v>0</v>
      </c>
      <c r="O100" s="67"/>
      <c r="P100" s="67"/>
      <c r="Q100" s="48">
        <f t="shared" si="21"/>
        <v>0</v>
      </c>
    </row>
    <row r="101" spans="3:17" ht="14.25">
      <c r="C101" s="91"/>
      <c r="D101" s="69"/>
      <c r="E101" s="67"/>
      <c r="F101" s="67"/>
      <c r="G101" s="507"/>
      <c r="H101" s="67"/>
      <c r="I101" s="67"/>
      <c r="J101" s="67">
        <f>IF(($J$14-H101)*J$17&gt;100,100,($J$14-H101)*J$17)</f>
        <v>100</v>
      </c>
      <c r="K101" s="67">
        <f t="shared" si="22"/>
        <v>0</v>
      </c>
      <c r="L101" s="67"/>
      <c r="M101" s="67"/>
      <c r="N101" s="48">
        <f t="shared" si="20"/>
        <v>0</v>
      </c>
      <c r="O101" s="67"/>
      <c r="P101" s="67"/>
      <c r="Q101" s="48">
        <f t="shared" si="21"/>
        <v>0</v>
      </c>
    </row>
    <row r="102" spans="3:17" ht="14.25" hidden="1">
      <c r="C102" s="91"/>
      <c r="D102" s="69"/>
      <c r="E102" s="67"/>
      <c r="F102" s="67"/>
      <c r="G102" s="507"/>
      <c r="H102" s="67"/>
      <c r="I102" s="67"/>
      <c r="J102" s="67">
        <f>IF(($J$14-H102)*J$17&gt;100,100,($J$14-H102)*J$17)</f>
        <v>100</v>
      </c>
      <c r="K102" s="67">
        <f t="shared" si="22"/>
        <v>0</v>
      </c>
      <c r="L102" s="67"/>
      <c r="M102" s="67"/>
      <c r="N102" s="48">
        <f t="shared" si="20"/>
        <v>0</v>
      </c>
      <c r="O102" s="67"/>
      <c r="P102" s="67"/>
      <c r="Q102" s="48">
        <f t="shared" si="21"/>
        <v>0</v>
      </c>
    </row>
    <row r="103" spans="3:17" ht="27">
      <c r="C103" s="91"/>
      <c r="D103" s="483" t="s">
        <v>410</v>
      </c>
      <c r="E103" s="67"/>
      <c r="F103" s="67"/>
      <c r="G103" s="509">
        <f>SUMIF(J96:J102,"&lt;100",G96:G102)</f>
        <v>0</v>
      </c>
      <c r="H103" s="67"/>
      <c r="I103" s="67"/>
      <c r="K103" s="67"/>
      <c r="L103" s="67"/>
      <c r="M103" s="67"/>
      <c r="N103" s="48"/>
      <c r="O103" s="67"/>
      <c r="P103" s="67"/>
      <c r="Q103" s="48"/>
    </row>
    <row r="104" spans="1:17" ht="29.25" customHeight="1">
      <c r="A104" s="356"/>
      <c r="B104" s="356"/>
      <c r="C104" s="355">
        <v>629</v>
      </c>
      <c r="D104" s="339" t="s">
        <v>282</v>
      </c>
      <c r="E104" s="340">
        <v>8</v>
      </c>
      <c r="F104" s="67"/>
      <c r="G104" s="334">
        <f>SUM(G105:G111)</f>
        <v>0</v>
      </c>
      <c r="H104" s="67"/>
      <c r="I104" s="67"/>
      <c r="J104" s="340">
        <v>12.5</v>
      </c>
      <c r="K104" s="67"/>
      <c r="L104" s="329">
        <f>SUM(L105:L107)</f>
        <v>0</v>
      </c>
      <c r="M104" s="67"/>
      <c r="N104" s="329">
        <f aca="true" t="shared" si="23" ref="N104:N111">+L104*M104</f>
        <v>0</v>
      </c>
      <c r="O104" s="329"/>
      <c r="P104" s="67"/>
      <c r="Q104" s="329">
        <f aca="true" t="shared" si="24" ref="Q104:Q111">+O104*P104</f>
        <v>0</v>
      </c>
    </row>
    <row r="105" spans="3:17" ht="14.25">
      <c r="C105" s="91"/>
      <c r="D105" s="69"/>
      <c r="E105" s="69"/>
      <c r="F105" s="67"/>
      <c r="G105" s="507"/>
      <c r="H105" s="67"/>
      <c r="I105" s="67"/>
      <c r="J105" s="67">
        <f>IF(($J$14-H105)*J$104&gt;100,100,($J$14-H105)*J$104)</f>
        <v>100</v>
      </c>
      <c r="K105" s="67">
        <f aca="true" t="shared" si="25" ref="K105:K111">IF(J105=100,0,I105-I105*J105%)</f>
        <v>0</v>
      </c>
      <c r="L105" s="67"/>
      <c r="M105" s="67"/>
      <c r="N105" s="48">
        <f t="shared" si="23"/>
        <v>0</v>
      </c>
      <c r="O105" s="67"/>
      <c r="P105" s="67"/>
      <c r="Q105" s="48">
        <f t="shared" si="24"/>
        <v>0</v>
      </c>
    </row>
    <row r="106" spans="3:17" ht="14.25">
      <c r="C106" s="91"/>
      <c r="D106" s="69"/>
      <c r="E106" s="69"/>
      <c r="F106" s="67"/>
      <c r="G106" s="507"/>
      <c r="H106" s="67"/>
      <c r="I106" s="67"/>
      <c r="J106" s="67">
        <f>IF(($J$14-H106)*J$104&gt;100,100,($J$14-H106)*J$104)</f>
        <v>100</v>
      </c>
      <c r="K106" s="67">
        <f t="shared" si="25"/>
        <v>0</v>
      </c>
      <c r="L106" s="67"/>
      <c r="M106" s="67"/>
      <c r="N106" s="48">
        <f t="shared" si="23"/>
        <v>0</v>
      </c>
      <c r="O106" s="67"/>
      <c r="P106" s="67"/>
      <c r="Q106" s="48">
        <f t="shared" si="24"/>
        <v>0</v>
      </c>
    </row>
    <row r="107" spans="3:17" ht="14.25">
      <c r="C107" s="91"/>
      <c r="D107" s="69"/>
      <c r="E107" s="69"/>
      <c r="F107" s="67"/>
      <c r="G107" s="507"/>
      <c r="H107" s="67"/>
      <c r="I107" s="67"/>
      <c r="J107" s="67">
        <f>IF(($J$14-H107)*J$104&gt;100,100,($J$14-H107)*J$104)</f>
        <v>100</v>
      </c>
      <c r="K107" s="67">
        <f t="shared" si="25"/>
        <v>0</v>
      </c>
      <c r="L107" s="67"/>
      <c r="M107" s="67"/>
      <c r="N107" s="48">
        <f t="shared" si="23"/>
        <v>0</v>
      </c>
      <c r="O107" s="67"/>
      <c r="P107" s="67"/>
      <c r="Q107" s="48">
        <f t="shared" si="24"/>
        <v>0</v>
      </c>
    </row>
    <row r="108" spans="3:17" ht="14.25">
      <c r="C108" s="91"/>
      <c r="D108" s="69"/>
      <c r="E108" s="67"/>
      <c r="F108" s="67"/>
      <c r="G108" s="507"/>
      <c r="H108" s="67"/>
      <c r="I108" s="67"/>
      <c r="J108" s="67">
        <f>IF(($J$14-H108)*J$17&gt;100,100,($J$14-H108)*J$17)</f>
        <v>100</v>
      </c>
      <c r="K108" s="67">
        <f t="shared" si="25"/>
        <v>0</v>
      </c>
      <c r="L108" s="67"/>
      <c r="M108" s="67"/>
      <c r="N108" s="48">
        <f t="shared" si="23"/>
        <v>0</v>
      </c>
      <c r="O108" s="67"/>
      <c r="P108" s="67"/>
      <c r="Q108" s="48">
        <f t="shared" si="24"/>
        <v>0</v>
      </c>
    </row>
    <row r="109" spans="3:17" ht="14.25">
      <c r="C109" s="91"/>
      <c r="D109" s="69"/>
      <c r="E109" s="67"/>
      <c r="F109" s="67"/>
      <c r="G109" s="507"/>
      <c r="H109" s="67"/>
      <c r="I109" s="67"/>
      <c r="J109" s="67">
        <f>IF(($J$14-H109)*J$17&gt;100,100,($J$14-H109)*J$17)</f>
        <v>100</v>
      </c>
      <c r="K109" s="67">
        <f t="shared" si="25"/>
        <v>0</v>
      </c>
      <c r="L109" s="67"/>
      <c r="M109" s="67"/>
      <c r="N109" s="48">
        <f t="shared" si="23"/>
        <v>0</v>
      </c>
      <c r="O109" s="67"/>
      <c r="P109" s="67"/>
      <c r="Q109" s="48">
        <f t="shared" si="24"/>
        <v>0</v>
      </c>
    </row>
    <row r="110" spans="3:17" ht="14.25">
      <c r="C110" s="91"/>
      <c r="D110" s="69"/>
      <c r="E110" s="67"/>
      <c r="F110" s="67"/>
      <c r="G110" s="507"/>
      <c r="H110" s="67"/>
      <c r="I110" s="67"/>
      <c r="J110" s="67">
        <f>IF(($J$14-H110)*J$17&gt;100,100,($J$14-H110)*J$17)</f>
        <v>100</v>
      </c>
      <c r="K110" s="67">
        <f t="shared" si="25"/>
        <v>0</v>
      </c>
      <c r="L110" s="67"/>
      <c r="M110" s="67"/>
      <c r="N110" s="48">
        <f t="shared" si="23"/>
        <v>0</v>
      </c>
      <c r="O110" s="67"/>
      <c r="P110" s="67"/>
      <c r="Q110" s="48">
        <f t="shared" si="24"/>
        <v>0</v>
      </c>
    </row>
    <row r="111" spans="3:17" ht="14.25" hidden="1">
      <c r="C111" s="91"/>
      <c r="D111" s="69"/>
      <c r="E111" s="67"/>
      <c r="F111" s="67"/>
      <c r="G111" s="507"/>
      <c r="H111" s="67"/>
      <c r="I111" s="67"/>
      <c r="J111" s="67">
        <f>IF(($J$14-H111)*J$17&gt;100,100,($J$14-H111)*J$17)</f>
        <v>100</v>
      </c>
      <c r="K111" s="67">
        <f t="shared" si="25"/>
        <v>0</v>
      </c>
      <c r="L111" s="67"/>
      <c r="M111" s="67"/>
      <c r="N111" s="48">
        <f t="shared" si="23"/>
        <v>0</v>
      </c>
      <c r="O111" s="67"/>
      <c r="P111" s="67"/>
      <c r="Q111" s="48">
        <f t="shared" si="24"/>
        <v>0</v>
      </c>
    </row>
    <row r="112" spans="3:17" ht="27">
      <c r="C112" s="91"/>
      <c r="D112" s="483" t="s">
        <v>410</v>
      </c>
      <c r="E112" s="67"/>
      <c r="F112" s="67"/>
      <c r="G112" s="509">
        <f>SUMIF(J105:J111,"&lt;100",G105:G111)</f>
        <v>0</v>
      </c>
      <c r="H112" s="67"/>
      <c r="I112" s="67"/>
      <c r="K112" s="67"/>
      <c r="L112" s="67"/>
      <c r="M112" s="67"/>
      <c r="N112" s="48"/>
      <c r="O112" s="67"/>
      <c r="P112" s="67"/>
      <c r="Q112" s="48"/>
    </row>
    <row r="113" spans="1:17" ht="32.25" customHeight="1">
      <c r="A113" s="357"/>
      <c r="B113" s="358"/>
      <c r="C113" s="343"/>
      <c r="D113" s="344" t="s">
        <v>166</v>
      </c>
      <c r="E113" s="345"/>
      <c r="F113" s="346" t="s">
        <v>1</v>
      </c>
      <c r="G113" s="359" t="s">
        <v>1</v>
      </c>
      <c r="H113" s="347" t="s">
        <v>1</v>
      </c>
      <c r="I113" s="347" t="s">
        <v>1</v>
      </c>
      <c r="J113" s="347" t="s">
        <v>1</v>
      </c>
      <c r="K113" s="347" t="s">
        <v>1</v>
      </c>
      <c r="L113" s="359" t="s">
        <v>1</v>
      </c>
      <c r="M113" s="347" t="s">
        <v>1</v>
      </c>
      <c r="N113" s="348">
        <f>+N73+N16</f>
        <v>5100</v>
      </c>
      <c r="O113" s="360" t="s">
        <v>1</v>
      </c>
      <c r="P113" s="347" t="s">
        <v>1</v>
      </c>
      <c r="Q113" s="348">
        <f>+Q73+Q16</f>
        <v>4000</v>
      </c>
    </row>
    <row r="114" ht="13.5">
      <c r="Q114" s="3"/>
    </row>
  </sheetData>
  <sheetProtection/>
  <mergeCells count="9">
    <mergeCell ref="O11:Q11"/>
    <mergeCell ref="J2:L2"/>
    <mergeCell ref="D4:H4"/>
    <mergeCell ref="C5:M5"/>
    <mergeCell ref="C7:M7"/>
    <mergeCell ref="G11:K11"/>
    <mergeCell ref="L11:N11"/>
    <mergeCell ref="C8:M8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28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6.28125" style="140" customWidth="1"/>
    <col min="2" max="2" width="23.421875" style="141" customWidth="1"/>
    <col min="3" max="3" width="21.00390625" style="141" customWidth="1"/>
    <col min="4" max="4" width="16.00390625" style="141" customWidth="1"/>
    <col min="5" max="5" width="12.28125" style="141" customWidth="1"/>
    <col min="6" max="6" width="29.8515625" style="141" customWidth="1"/>
    <col min="7" max="7" width="25.28125" style="141" customWidth="1"/>
    <col min="8" max="10" width="16.140625" style="141" customWidth="1"/>
    <col min="11" max="11" width="12.140625" style="141" customWidth="1"/>
    <col min="12" max="12" width="26.8515625" style="141" customWidth="1"/>
    <col min="13" max="16384" width="9.140625" style="141" customWidth="1"/>
  </cols>
  <sheetData>
    <row r="1" spans="1:14" s="198" customFormat="1" ht="17.25">
      <c r="A1" s="142"/>
      <c r="B1" s="693" t="s">
        <v>203</v>
      </c>
      <c r="C1" s="693"/>
      <c r="D1" s="86"/>
      <c r="E1" s="27"/>
      <c r="G1" s="86"/>
      <c r="H1" s="86"/>
      <c r="I1" s="86"/>
      <c r="J1" s="86"/>
      <c r="K1" s="86"/>
      <c r="L1" s="86" t="s">
        <v>243</v>
      </c>
      <c r="M1" s="86"/>
      <c r="N1" s="2"/>
    </row>
    <row r="2" spans="1:14" s="198" customFormat="1" ht="17.25" customHeight="1">
      <c r="A2" s="142"/>
      <c r="D2" s="213"/>
      <c r="G2" s="213"/>
      <c r="H2" s="213"/>
      <c r="I2" s="213"/>
      <c r="J2" s="213"/>
      <c r="K2" s="213"/>
      <c r="L2" s="306" t="s">
        <v>10</v>
      </c>
      <c r="M2" s="306"/>
      <c r="N2" s="306"/>
    </row>
    <row r="3" spans="1:14" s="198" customFormat="1" ht="18" customHeight="1" thickBot="1">
      <c r="A3" s="142"/>
      <c r="B3" s="624" t="s">
        <v>947</v>
      </c>
      <c r="C3" s="624"/>
      <c r="D3" s="624"/>
      <c r="E3" s="624"/>
      <c r="F3" s="624"/>
      <c r="G3" s="143"/>
      <c r="H3" s="143"/>
      <c r="I3" s="143"/>
      <c r="J3" s="143"/>
      <c r="K3" s="143"/>
      <c r="L3" s="19"/>
      <c r="M3" s="197"/>
      <c r="N3" s="197"/>
    </row>
    <row r="4" spans="1:12" s="199" customFormat="1" ht="27" customHeight="1">
      <c r="A4" s="142"/>
      <c r="B4" s="214"/>
      <c r="C4" s="214"/>
      <c r="D4" s="144"/>
      <c r="E4" s="144"/>
      <c r="F4" s="214"/>
      <c r="G4" s="144"/>
      <c r="H4" s="144"/>
      <c r="I4" s="144"/>
      <c r="J4" s="144"/>
      <c r="K4" s="144"/>
      <c r="L4" s="144"/>
    </row>
    <row r="5" spans="1:12" s="198" customFormat="1" ht="22.5" customHeight="1">
      <c r="A5" s="234" t="s">
        <v>152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s="198" customFormat="1" ht="22.5" customHeight="1">
      <c r="A6" s="234" t="s">
        <v>324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2" s="199" customFormat="1" ht="17.25">
      <c r="A7" s="142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s="145" customFormat="1" ht="17.25">
      <c r="A8" s="142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s="145" customFormat="1" ht="17.25">
      <c r="A9" s="142"/>
      <c r="B9" s="693"/>
      <c r="C9" s="693"/>
      <c r="D9" s="224"/>
      <c r="E9" s="144"/>
      <c r="F9" s="144"/>
      <c r="G9" s="224"/>
      <c r="H9" s="224"/>
      <c r="I9" s="224"/>
      <c r="J9" s="224"/>
      <c r="K9" s="224"/>
      <c r="L9" s="224" t="s">
        <v>164</v>
      </c>
    </row>
    <row r="10" spans="1:12" s="145" customFormat="1" ht="17.25">
      <c r="A10" s="142"/>
      <c r="B10" s="144"/>
      <c r="C10" s="144"/>
      <c r="D10" s="224"/>
      <c r="E10" s="144"/>
      <c r="F10" s="144"/>
      <c r="G10" s="224"/>
      <c r="H10" s="224"/>
      <c r="I10" s="224"/>
      <c r="J10" s="224"/>
      <c r="K10" s="224"/>
      <c r="L10" s="224"/>
    </row>
    <row r="11" spans="1:12" s="116" customFormat="1" ht="132" customHeight="1">
      <c r="A11" s="146" t="s">
        <v>60</v>
      </c>
      <c r="B11" s="175" t="s">
        <v>169</v>
      </c>
      <c r="C11" s="175" t="s">
        <v>165</v>
      </c>
      <c r="D11" s="175" t="s">
        <v>167</v>
      </c>
      <c r="E11" s="175" t="s">
        <v>168</v>
      </c>
      <c r="F11" s="175" t="s">
        <v>184</v>
      </c>
      <c r="G11" s="175" t="s">
        <v>187</v>
      </c>
      <c r="H11" s="175" t="s">
        <v>188</v>
      </c>
      <c r="I11" s="175" t="s">
        <v>189</v>
      </c>
      <c r="J11" s="175" t="s">
        <v>190</v>
      </c>
      <c r="K11" s="175" t="s">
        <v>191</v>
      </c>
      <c r="L11" s="175" t="s">
        <v>232</v>
      </c>
    </row>
    <row r="12" spans="1:12" s="294" customFormat="1" ht="13.5">
      <c r="A12" s="149">
        <v>1</v>
      </c>
      <c r="B12" s="92">
        <v>2</v>
      </c>
      <c r="C12" s="92">
        <v>3</v>
      </c>
      <c r="D12" s="92">
        <v>4</v>
      </c>
      <c r="E12" s="92">
        <v>5</v>
      </c>
      <c r="F12" s="92">
        <v>6</v>
      </c>
      <c r="G12" s="92">
        <v>7</v>
      </c>
      <c r="H12" s="92">
        <v>7.1</v>
      </c>
      <c r="I12" s="92">
        <v>7.2</v>
      </c>
      <c r="J12" s="92">
        <v>7.3</v>
      </c>
      <c r="K12" s="92">
        <v>7.4</v>
      </c>
      <c r="L12" s="92">
        <v>8</v>
      </c>
    </row>
    <row r="13" spans="1:12" s="116" customFormat="1" ht="32.25" customHeight="1">
      <c r="A13" s="253"/>
      <c r="B13" s="254" t="s">
        <v>182</v>
      </c>
      <c r="C13" s="254"/>
      <c r="D13" s="254" t="s">
        <v>1</v>
      </c>
      <c r="E13" s="254">
        <f>SUM(E14:E17)</f>
        <v>480</v>
      </c>
      <c r="F13" s="254"/>
      <c r="G13" s="254"/>
      <c r="H13" s="254"/>
      <c r="I13" s="254"/>
      <c r="J13" s="254"/>
      <c r="K13" s="254"/>
      <c r="L13" s="254"/>
    </row>
    <row r="14" spans="1:12" ht="86.25">
      <c r="A14" s="147">
        <v>1</v>
      </c>
      <c r="B14" s="557" t="s">
        <v>588</v>
      </c>
      <c r="C14" s="557" t="s">
        <v>589</v>
      </c>
      <c r="D14" s="147" t="s">
        <v>1</v>
      </c>
      <c r="E14" s="558">
        <v>480</v>
      </c>
      <c r="F14" s="557" t="s">
        <v>590</v>
      </c>
      <c r="G14" s="147">
        <f>H14+I14</f>
        <v>2233.5</v>
      </c>
      <c r="H14" s="147">
        <v>123.4</v>
      </c>
      <c r="I14" s="147">
        <v>2110.1</v>
      </c>
      <c r="J14" s="147"/>
      <c r="K14" s="147">
        <v>48</v>
      </c>
      <c r="L14" s="147"/>
    </row>
    <row r="15" spans="1:12" ht="17.25">
      <c r="A15" s="147">
        <v>2</v>
      </c>
      <c r="B15" s="148"/>
      <c r="C15" s="148"/>
      <c r="D15" s="147" t="s">
        <v>1</v>
      </c>
      <c r="E15" s="148"/>
      <c r="F15" s="147"/>
      <c r="G15" s="147">
        <f aca="true" t="shared" si="0" ref="G15:G22">SUM(H15:K15)</f>
        <v>0</v>
      </c>
      <c r="H15" s="147"/>
      <c r="I15" s="147"/>
      <c r="J15" s="147"/>
      <c r="K15" s="147"/>
      <c r="L15" s="147"/>
    </row>
    <row r="16" spans="1:12" ht="17.25">
      <c r="A16" s="147">
        <v>3</v>
      </c>
      <c r="B16" s="148"/>
      <c r="C16" s="148"/>
      <c r="D16" s="147" t="s">
        <v>1</v>
      </c>
      <c r="E16" s="148"/>
      <c r="F16" s="147"/>
      <c r="G16" s="147">
        <f t="shared" si="0"/>
        <v>0</v>
      </c>
      <c r="H16" s="147"/>
      <c r="I16" s="147"/>
      <c r="J16" s="147"/>
      <c r="K16" s="147"/>
      <c r="L16" s="147"/>
    </row>
    <row r="17" spans="1:12" ht="17.25">
      <c r="A17" s="147" t="s">
        <v>148</v>
      </c>
      <c r="B17" s="148"/>
      <c r="C17" s="148"/>
      <c r="D17" s="147" t="s">
        <v>1</v>
      </c>
      <c r="E17" s="148"/>
      <c r="F17" s="147"/>
      <c r="G17" s="147">
        <f t="shared" si="0"/>
        <v>0</v>
      </c>
      <c r="H17" s="147"/>
      <c r="I17" s="147"/>
      <c r="J17" s="147"/>
      <c r="K17" s="147"/>
      <c r="L17" s="147"/>
    </row>
    <row r="18" spans="1:12" s="116" customFormat="1" ht="32.25" customHeight="1">
      <c r="A18" s="253"/>
      <c r="B18" s="254" t="s">
        <v>183</v>
      </c>
      <c r="C18" s="254"/>
      <c r="D18" s="254" t="s">
        <v>1</v>
      </c>
      <c r="E18" s="254">
        <f>SUM(E19:E22)</f>
        <v>348</v>
      </c>
      <c r="F18" s="254"/>
      <c r="G18" s="254"/>
      <c r="H18" s="254"/>
      <c r="I18" s="254"/>
      <c r="J18" s="254"/>
      <c r="K18" s="254"/>
      <c r="L18" s="254"/>
    </row>
    <row r="19" spans="1:12" ht="86.25">
      <c r="A19" s="147">
        <v>1</v>
      </c>
      <c r="B19" s="557" t="s">
        <v>591</v>
      </c>
      <c r="C19" s="557" t="s">
        <v>592</v>
      </c>
      <c r="D19" s="147" t="s">
        <v>1</v>
      </c>
      <c r="E19" s="558">
        <v>348</v>
      </c>
      <c r="F19" s="147"/>
      <c r="G19" s="147">
        <f>SUM(H19:K19)</f>
        <v>1653.2</v>
      </c>
      <c r="H19" s="147">
        <v>123.4</v>
      </c>
      <c r="I19" s="147">
        <v>1529.8</v>
      </c>
      <c r="J19" s="147"/>
      <c r="K19" s="147"/>
      <c r="L19" s="147"/>
    </row>
    <row r="20" spans="1:12" ht="17.25">
      <c r="A20" s="147">
        <v>2</v>
      </c>
      <c r="B20" s="148"/>
      <c r="C20" s="148"/>
      <c r="D20" s="147" t="s">
        <v>1</v>
      </c>
      <c r="E20" s="148"/>
      <c r="F20" s="147"/>
      <c r="G20" s="147">
        <f t="shared" si="0"/>
        <v>0</v>
      </c>
      <c r="H20" s="147"/>
      <c r="I20" s="147"/>
      <c r="J20" s="147"/>
      <c r="K20" s="147"/>
      <c r="L20" s="147"/>
    </row>
    <row r="21" spans="1:12" ht="17.25">
      <c r="A21" s="147">
        <v>3</v>
      </c>
      <c r="B21" s="148"/>
      <c r="C21" s="148"/>
      <c r="D21" s="147" t="s">
        <v>1</v>
      </c>
      <c r="E21" s="148"/>
      <c r="F21" s="147"/>
      <c r="G21" s="147">
        <f t="shared" si="0"/>
        <v>0</v>
      </c>
      <c r="H21" s="147"/>
      <c r="I21" s="147"/>
      <c r="J21" s="147"/>
      <c r="K21" s="147"/>
      <c r="L21" s="147"/>
    </row>
    <row r="22" spans="1:12" ht="17.25">
      <c r="A22" s="147" t="s">
        <v>148</v>
      </c>
      <c r="B22" s="148"/>
      <c r="C22" s="148"/>
      <c r="D22" s="147" t="s">
        <v>1</v>
      </c>
      <c r="E22" s="148"/>
      <c r="F22" s="147"/>
      <c r="G22" s="147">
        <f t="shared" si="0"/>
        <v>0</v>
      </c>
      <c r="H22" s="147"/>
      <c r="I22" s="147"/>
      <c r="J22" s="147"/>
      <c r="K22" s="147"/>
      <c r="L22" s="147"/>
    </row>
    <row r="23" spans="1:12" s="116" customFormat="1" ht="32.25" customHeight="1">
      <c r="A23" s="253"/>
      <c r="B23" s="254" t="s">
        <v>181</v>
      </c>
      <c r="C23" s="254"/>
      <c r="D23" s="254"/>
      <c r="E23" s="254">
        <f>SUM(E24:E27)</f>
        <v>3453.3</v>
      </c>
      <c r="F23" s="254"/>
      <c r="G23" s="254"/>
      <c r="H23" s="254"/>
      <c r="I23" s="254"/>
      <c r="J23" s="254"/>
      <c r="K23" s="254"/>
      <c r="L23" s="254"/>
    </row>
    <row r="24" spans="1:12" ht="51.75">
      <c r="A24" s="147">
        <v>1</v>
      </c>
      <c r="B24" s="557" t="s">
        <v>593</v>
      </c>
      <c r="C24" s="557" t="s">
        <v>594</v>
      </c>
      <c r="D24" s="148">
        <v>12233.3</v>
      </c>
      <c r="E24" s="148">
        <v>3453.3</v>
      </c>
      <c r="F24" s="147" t="s">
        <v>595</v>
      </c>
      <c r="G24" s="147">
        <v>8391.3</v>
      </c>
      <c r="H24" s="147"/>
      <c r="I24" s="147"/>
      <c r="J24" s="147"/>
      <c r="K24" s="147"/>
      <c r="L24" s="559" t="s">
        <v>596</v>
      </c>
    </row>
    <row r="25" spans="1:12" ht="17.25">
      <c r="A25" s="147">
        <v>2</v>
      </c>
      <c r="B25" s="148"/>
      <c r="C25" s="148"/>
      <c r="D25" s="147"/>
      <c r="E25" s="148"/>
      <c r="F25" s="147"/>
      <c r="G25" s="147">
        <f>SUM(H25:K25)</f>
        <v>0</v>
      </c>
      <c r="H25" s="147"/>
      <c r="I25" s="147"/>
      <c r="J25" s="147"/>
      <c r="K25" s="147"/>
      <c r="L25" s="147"/>
    </row>
    <row r="26" spans="1:12" ht="17.25">
      <c r="A26" s="147">
        <v>3</v>
      </c>
      <c r="B26" s="148"/>
      <c r="C26" s="148"/>
      <c r="D26" s="147"/>
      <c r="E26" s="148"/>
      <c r="F26" s="147"/>
      <c r="G26" s="147">
        <f>SUM(H26:K26)</f>
        <v>0</v>
      </c>
      <c r="H26" s="147"/>
      <c r="I26" s="147"/>
      <c r="J26" s="147"/>
      <c r="K26" s="147"/>
      <c r="L26" s="147"/>
    </row>
    <row r="27" spans="1:12" ht="17.25">
      <c r="A27" s="147" t="s">
        <v>148</v>
      </c>
      <c r="B27" s="148"/>
      <c r="C27" s="148"/>
      <c r="D27" s="147"/>
      <c r="E27" s="148"/>
      <c r="F27" s="147"/>
      <c r="G27" s="147">
        <f>SUM(H27:K27)</f>
        <v>0</v>
      </c>
      <c r="H27" s="147"/>
      <c r="I27" s="147"/>
      <c r="J27" s="147"/>
      <c r="K27" s="147"/>
      <c r="L27" s="147"/>
    </row>
    <row r="28" spans="1:12" s="116" customFormat="1" ht="32.25" customHeight="1">
      <c r="A28" s="253"/>
      <c r="B28" s="255" t="s">
        <v>166</v>
      </c>
      <c r="C28" s="254"/>
      <c r="D28" s="256">
        <f>SUM(D24:D27)</f>
        <v>12233.3</v>
      </c>
      <c r="E28" s="254"/>
      <c r="F28" s="254"/>
      <c r="G28" s="254"/>
      <c r="H28" s="254"/>
      <c r="I28" s="254"/>
      <c r="J28" s="254"/>
      <c r="K28" s="254"/>
      <c r="L28" s="254"/>
    </row>
  </sheetData>
  <sheetProtection/>
  <mergeCells count="3">
    <mergeCell ref="B9:C9"/>
    <mergeCell ref="B1:C1"/>
    <mergeCell ref="B3:F3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B3" sqref="B3:C3"/>
    </sheetView>
  </sheetViews>
  <sheetFormatPr defaultColWidth="9.140625" defaultRowHeight="12.75"/>
  <cols>
    <col min="1" max="1" width="6.28125" style="140" customWidth="1"/>
    <col min="2" max="2" width="37.7109375" style="141" customWidth="1"/>
    <col min="3" max="3" width="60.8515625" style="141" customWidth="1"/>
    <col min="4" max="4" width="24.28125" style="141" customWidth="1"/>
    <col min="5" max="16384" width="9.140625" style="141" customWidth="1"/>
  </cols>
  <sheetData>
    <row r="1" spans="1:4" s="198" customFormat="1" ht="17.25">
      <c r="A1" s="142"/>
      <c r="B1" s="693"/>
      <c r="C1" s="693"/>
      <c r="D1" s="410" t="s">
        <v>107</v>
      </c>
    </row>
    <row r="2" spans="1:4" s="198" customFormat="1" ht="17.25" customHeight="1">
      <c r="A2" s="142"/>
      <c r="D2" s="326" t="s">
        <v>10</v>
      </c>
    </row>
    <row r="3" spans="1:4" s="198" customFormat="1" ht="18" customHeight="1" thickBot="1">
      <c r="A3" s="142"/>
      <c r="B3" s="624" t="s">
        <v>947</v>
      </c>
      <c r="C3" s="624"/>
      <c r="D3" s="133"/>
    </row>
    <row r="4" spans="1:3" s="199" customFormat="1" ht="27" customHeight="1">
      <c r="A4" s="142"/>
      <c r="B4" s="214"/>
      <c r="C4" s="214"/>
    </row>
    <row r="5" spans="1:3" s="198" customFormat="1" ht="22.5" customHeight="1">
      <c r="A5" s="234" t="s">
        <v>152</v>
      </c>
      <c r="B5" s="234"/>
      <c r="C5" s="234"/>
    </row>
    <row r="6" spans="1:3" s="198" customFormat="1" ht="34.5">
      <c r="A6" s="234" t="s">
        <v>325</v>
      </c>
      <c r="B6" s="234"/>
      <c r="C6" s="234"/>
    </row>
    <row r="7" spans="1:3" s="199" customFormat="1" ht="17.25">
      <c r="A7" s="142"/>
      <c r="B7" s="144"/>
      <c r="C7" s="144"/>
    </row>
    <row r="8" spans="1:3" s="199" customFormat="1" ht="69">
      <c r="A8" s="142"/>
      <c r="B8" s="412" t="s">
        <v>332</v>
      </c>
      <c r="C8" s="413" t="s">
        <v>333</v>
      </c>
    </row>
    <row r="9" spans="1:3" s="199" customFormat="1" ht="24.75" customHeight="1">
      <c r="A9" s="142"/>
      <c r="B9" s="413">
        <f>+'14տարածքներ'!E13+'14տարածքներ'!E18</f>
        <v>828</v>
      </c>
      <c r="C9" s="148">
        <f>+B9*0.8</f>
        <v>662.4000000000001</v>
      </c>
    </row>
    <row r="10" spans="1:3" s="199" customFormat="1" ht="17.25">
      <c r="A10" s="142"/>
      <c r="B10" s="144"/>
      <c r="C10" s="144"/>
    </row>
    <row r="11" spans="1:3" s="199" customFormat="1" ht="17.25">
      <c r="A11" s="142"/>
      <c r="B11" s="144"/>
      <c r="C11" s="144"/>
    </row>
    <row r="12" spans="1:3" ht="54.75" customHeight="1">
      <c r="A12" s="210">
        <v>1</v>
      </c>
      <c r="B12" s="175" t="s">
        <v>257</v>
      </c>
      <c r="C12" s="321" t="s">
        <v>587</v>
      </c>
    </row>
    <row r="13" spans="1:3" ht="38.25" customHeight="1">
      <c r="A13" s="210">
        <v>2</v>
      </c>
      <c r="B13" s="175" t="s">
        <v>258</v>
      </c>
      <c r="C13" s="147" t="s">
        <v>595</v>
      </c>
    </row>
    <row r="14" spans="1:3" ht="51.75" customHeight="1">
      <c r="A14" s="210">
        <v>3</v>
      </c>
      <c r="B14" s="175" t="s">
        <v>259</v>
      </c>
      <c r="C14" s="321" t="s">
        <v>597</v>
      </c>
    </row>
    <row r="15" spans="1:3" ht="38.25" customHeight="1">
      <c r="A15" s="210">
        <v>4</v>
      </c>
      <c r="B15" s="175" t="s">
        <v>253</v>
      </c>
      <c r="C15" s="321"/>
    </row>
    <row r="16" spans="1:3" ht="47.25" customHeight="1">
      <c r="A16" s="210">
        <v>5</v>
      </c>
      <c r="B16" s="175" t="s">
        <v>260</v>
      </c>
      <c r="C16" s="321"/>
    </row>
    <row r="17" spans="1:3" ht="67.5" customHeight="1">
      <c r="A17" s="140" t="s">
        <v>7</v>
      </c>
      <c r="B17" s="322" t="s">
        <v>261</v>
      </c>
      <c r="C17" s="323"/>
    </row>
    <row r="18" spans="1:3" ht="34.5" customHeight="1">
      <c r="A18" s="318" t="s">
        <v>255</v>
      </c>
      <c r="B18" s="319"/>
      <c r="C18" s="320"/>
    </row>
    <row r="19" spans="1:3" ht="41.25">
      <c r="A19" s="318"/>
      <c r="B19" s="21" t="s">
        <v>254</v>
      </c>
      <c r="C19" s="70" t="s">
        <v>256</v>
      </c>
    </row>
    <row r="20" spans="1:3" ht="17.25">
      <c r="A20" s="147">
        <v>1</v>
      </c>
      <c r="B20" s="148"/>
      <c r="C20" s="148"/>
    </row>
    <row r="21" spans="1:3" ht="17.25">
      <c r="A21" s="147">
        <v>2</v>
      </c>
      <c r="B21" s="148"/>
      <c r="C21" s="148"/>
    </row>
    <row r="22" spans="1:3" ht="17.25">
      <c r="A22" s="147">
        <v>3</v>
      </c>
      <c r="B22" s="148"/>
      <c r="C22" s="148"/>
    </row>
    <row r="23" spans="1:3" ht="17.25">
      <c r="A23" s="147" t="s">
        <v>148</v>
      </c>
      <c r="B23" s="148"/>
      <c r="C23" s="148"/>
    </row>
    <row r="24" spans="1:3" s="116" customFormat="1" ht="32.25" customHeight="1">
      <c r="A24" s="253"/>
      <c r="B24" s="255" t="s">
        <v>166</v>
      </c>
      <c r="C24" s="254">
        <f>SUM(C20:C23)</f>
        <v>0</v>
      </c>
    </row>
  </sheetData>
  <sheetProtection/>
  <mergeCells count="2">
    <mergeCell ref="B1:C1"/>
    <mergeCell ref="B3:C3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F23" sqref="F23"/>
    </sheetView>
  </sheetViews>
  <sheetFormatPr defaultColWidth="9.140625" defaultRowHeight="12.75"/>
  <cols>
    <col min="1" max="1" width="6.140625" style="4" customWidth="1"/>
    <col min="2" max="2" width="39.140625" style="4" customWidth="1"/>
    <col min="3" max="3" width="16.57421875" style="4" customWidth="1"/>
    <col min="4" max="4" width="18.421875" style="4" customWidth="1"/>
    <col min="5" max="5" width="19.7109375" style="4" customWidth="1"/>
    <col min="6" max="6" width="23.57421875" style="4" customWidth="1"/>
    <col min="7" max="7" width="12.421875" style="4" customWidth="1"/>
    <col min="8" max="8" width="26.7109375" style="4" customWidth="1"/>
    <col min="9" max="9" width="11.28125" style="4" customWidth="1"/>
    <col min="10" max="10" width="14.00390625" style="4" customWidth="1"/>
    <col min="11" max="11" width="10.7109375" style="4" customWidth="1"/>
    <col min="12" max="12" width="10.28125" style="4" customWidth="1"/>
    <col min="13" max="16384" width="9.140625" style="4" customWidth="1"/>
  </cols>
  <sheetData>
    <row r="1" ht="16.5" customHeight="1">
      <c r="F1" s="86" t="s">
        <v>162</v>
      </c>
    </row>
    <row r="2" ht="18.75" customHeight="1">
      <c r="F2" s="306" t="s">
        <v>10</v>
      </c>
    </row>
    <row r="6" spans="1:6" ht="30.75" customHeight="1">
      <c r="A6" s="694" t="s">
        <v>244</v>
      </c>
      <c r="B6" s="694"/>
      <c r="C6" s="694"/>
      <c r="D6" s="694"/>
      <c r="E6" s="694"/>
      <c r="F6" s="694"/>
    </row>
    <row r="7" spans="1:6" ht="38.25" customHeight="1">
      <c r="A7" s="694" t="s">
        <v>326</v>
      </c>
      <c r="B7" s="694"/>
      <c r="C7" s="694"/>
      <c r="D7" s="694"/>
      <c r="E7" s="694"/>
      <c r="F7" s="694"/>
    </row>
    <row r="8" spans="1:6" ht="21" customHeight="1">
      <c r="A8" s="308"/>
      <c r="B8" s="308"/>
      <c r="C8" s="308"/>
      <c r="D8" s="308"/>
      <c r="E8" s="308"/>
      <c r="F8" s="308"/>
    </row>
    <row r="9" spans="1:6" ht="23.25" customHeight="1">
      <c r="A9" s="308"/>
      <c r="B9" s="308"/>
      <c r="C9" s="308"/>
      <c r="D9" s="308"/>
      <c r="E9" s="308"/>
      <c r="F9" s="308"/>
    </row>
    <row r="10" spans="1:6" ht="19.5" customHeight="1">
      <c r="A10" s="641" t="s">
        <v>6</v>
      </c>
      <c r="B10" s="641" t="s">
        <v>250</v>
      </c>
      <c r="C10" s="695" t="s">
        <v>238</v>
      </c>
      <c r="D10" s="696"/>
      <c r="E10" s="696"/>
      <c r="F10" s="697"/>
    </row>
    <row r="11" spans="1:6" ht="61.5" customHeight="1">
      <c r="A11" s="642"/>
      <c r="B11" s="642"/>
      <c r="C11" s="307" t="s">
        <v>245</v>
      </c>
      <c r="D11" s="307" t="s">
        <v>249</v>
      </c>
      <c r="E11" s="307" t="s">
        <v>464</v>
      </c>
      <c r="F11" s="312" t="s">
        <v>465</v>
      </c>
    </row>
    <row r="12" spans="1:6" ht="18" customHeight="1">
      <c r="A12" s="311" t="s">
        <v>247</v>
      </c>
      <c r="B12" s="311">
        <v>1</v>
      </c>
      <c r="C12" s="311">
        <v>2</v>
      </c>
      <c r="D12" s="311">
        <v>3</v>
      </c>
      <c r="E12" s="311">
        <v>4</v>
      </c>
      <c r="F12" s="311">
        <v>5</v>
      </c>
    </row>
    <row r="13" spans="1:6" ht="50.25" customHeight="1">
      <c r="A13" s="313">
        <v>1</v>
      </c>
      <c r="B13" s="317" t="s">
        <v>251</v>
      </c>
      <c r="C13" s="315">
        <v>26</v>
      </c>
      <c r="D13" s="315">
        <v>24</v>
      </c>
      <c r="E13" s="315">
        <v>458</v>
      </c>
      <c r="F13" s="316">
        <f>C13*D13*E13/1000</f>
        <v>285.792</v>
      </c>
    </row>
    <row r="14" spans="1:6" ht="45" customHeight="1">
      <c r="A14" s="313">
        <v>2</v>
      </c>
      <c r="B14" s="317" t="s">
        <v>252</v>
      </c>
      <c r="C14" s="315"/>
      <c r="D14" s="315"/>
      <c r="E14" s="315"/>
      <c r="F14" s="316">
        <f>C14*D14*E14/1000</f>
        <v>0</v>
      </c>
    </row>
    <row r="15" spans="1:6" ht="36.75" customHeight="1">
      <c r="A15" s="309"/>
      <c r="B15" s="310" t="s">
        <v>59</v>
      </c>
      <c r="C15" s="314">
        <f>SUM(C13:C14)</f>
        <v>26</v>
      </c>
      <c r="D15" s="314" t="s">
        <v>1</v>
      </c>
      <c r="E15" s="314" t="s">
        <v>1</v>
      </c>
      <c r="F15" s="314">
        <f>SUM(F13:F14)</f>
        <v>285.792</v>
      </c>
    </row>
    <row r="18" ht="31.5" customHeight="1"/>
  </sheetData>
  <sheetProtection/>
  <mergeCells count="5">
    <mergeCell ref="A6:F6"/>
    <mergeCell ref="A7:F7"/>
    <mergeCell ref="A10:A11"/>
    <mergeCell ref="B10:B11"/>
    <mergeCell ref="C10:F10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6.28125" style="3" customWidth="1"/>
    <col min="2" max="2" width="78.8515625" style="4" customWidth="1"/>
    <col min="3" max="3" width="18.00390625" style="4" customWidth="1"/>
    <col min="4" max="16384" width="9.140625" style="4" customWidth="1"/>
  </cols>
  <sheetData>
    <row r="1" spans="1:3" s="28" customFormat="1" ht="14.25">
      <c r="A1" s="27"/>
      <c r="C1" s="34" t="s">
        <v>112</v>
      </c>
    </row>
    <row r="2" spans="1:3" s="28" customFormat="1" ht="14.25">
      <c r="A2" s="27"/>
      <c r="C2" s="295" t="s">
        <v>10</v>
      </c>
    </row>
    <row r="3" spans="1:3" s="28" customFormat="1" ht="15" thickBot="1">
      <c r="A3" s="27"/>
      <c r="B3" s="613" t="s">
        <v>948</v>
      </c>
      <c r="C3" s="19"/>
    </row>
    <row r="4" spans="1:8" s="212" customFormat="1" ht="17.25" customHeight="1">
      <c r="A4" s="197"/>
      <c r="B4" s="701"/>
      <c r="C4" s="701"/>
      <c r="D4" s="203"/>
      <c r="E4" s="203"/>
      <c r="F4" s="203"/>
      <c r="G4" s="203"/>
      <c r="H4" s="203"/>
    </row>
    <row r="5" spans="1:3" s="28" customFormat="1" ht="24" customHeight="1">
      <c r="A5" s="699" t="s">
        <v>87</v>
      </c>
      <c r="B5" s="699"/>
      <c r="C5" s="699"/>
    </row>
    <row r="6" spans="1:3" s="28" customFormat="1" ht="13.5">
      <c r="A6" s="700" t="s">
        <v>327</v>
      </c>
      <c r="B6" s="700"/>
      <c r="C6" s="700"/>
    </row>
    <row r="7" spans="1:3" s="115" customFormat="1" ht="13.5">
      <c r="A7" s="27"/>
      <c r="B7" s="113"/>
      <c r="C7" s="113"/>
    </row>
    <row r="8" spans="1:3" s="116" customFormat="1" ht="13.5">
      <c r="A8" s="27"/>
      <c r="B8" s="296"/>
      <c r="C8" s="296"/>
    </row>
    <row r="9" spans="1:3" s="116" customFormat="1" ht="45.75" customHeight="1">
      <c r="A9" s="27"/>
      <c r="B9" s="698" t="s">
        <v>344</v>
      </c>
      <c r="C9" s="698"/>
    </row>
    <row r="10" spans="1:3" s="116" customFormat="1" ht="13.5">
      <c r="A10" s="27"/>
      <c r="B10" s="113"/>
      <c r="C10" s="113"/>
    </row>
    <row r="11" spans="1:3" s="116" customFormat="1" ht="35.25" customHeight="1">
      <c r="A11" s="146" t="s">
        <v>60</v>
      </c>
      <c r="B11" s="26" t="s">
        <v>108</v>
      </c>
      <c r="C11" s="26" t="s">
        <v>109</v>
      </c>
    </row>
    <row r="12" spans="1:3" s="116" customFormat="1" ht="13.5">
      <c r="A12" s="146">
        <v>1</v>
      </c>
      <c r="B12" s="26">
        <v>2</v>
      </c>
      <c r="C12" s="26">
        <v>3</v>
      </c>
    </row>
    <row r="13" spans="1:3" ht="14.25">
      <c r="A13" s="146" t="s">
        <v>2</v>
      </c>
      <c r="B13" s="161" t="s">
        <v>213</v>
      </c>
      <c r="C13" s="146">
        <f>C14+C15</f>
        <v>3</v>
      </c>
    </row>
    <row r="14" spans="1:3" ht="13.5">
      <c r="A14" s="146"/>
      <c r="B14" s="297" t="s">
        <v>221</v>
      </c>
      <c r="C14" s="146">
        <v>1</v>
      </c>
    </row>
    <row r="15" spans="1:3" ht="13.5">
      <c r="A15" s="146"/>
      <c r="B15" s="297" t="s">
        <v>222</v>
      </c>
      <c r="C15" s="146">
        <v>2</v>
      </c>
    </row>
    <row r="16" spans="1:3" ht="14.25">
      <c r="A16" s="146" t="s">
        <v>3</v>
      </c>
      <c r="B16" s="161" t="s">
        <v>153</v>
      </c>
      <c r="C16" s="146">
        <f>+C17+C18+C19</f>
        <v>8</v>
      </c>
    </row>
    <row r="17" spans="1:3" ht="13.5">
      <c r="A17" s="146"/>
      <c r="B17" s="297" t="s">
        <v>154</v>
      </c>
      <c r="C17" s="146">
        <v>3</v>
      </c>
    </row>
    <row r="18" spans="1:3" ht="13.5">
      <c r="A18" s="146"/>
      <c r="B18" s="297" t="s">
        <v>155</v>
      </c>
      <c r="C18" s="146">
        <v>5</v>
      </c>
    </row>
    <row r="19" spans="1:3" ht="13.5">
      <c r="A19" s="146"/>
      <c r="B19" s="297" t="s">
        <v>156</v>
      </c>
      <c r="C19" s="146"/>
    </row>
    <row r="20" spans="1:3" ht="13.5">
      <c r="A20" s="298"/>
      <c r="B20" s="299"/>
      <c r="C20" s="298"/>
    </row>
    <row r="21" spans="1:3" ht="13.5">
      <c r="A21" s="146"/>
      <c r="B21" s="297" t="s">
        <v>204</v>
      </c>
      <c r="C21" s="146">
        <v>1</v>
      </c>
    </row>
    <row r="22" spans="1:3" ht="13.5">
      <c r="A22" s="146"/>
      <c r="B22" s="297" t="s">
        <v>205</v>
      </c>
      <c r="C22" s="146"/>
    </row>
    <row r="23" spans="1:3" ht="35.25" customHeight="1">
      <c r="A23" s="146" t="s">
        <v>4</v>
      </c>
      <c r="B23" s="161" t="s">
        <v>206</v>
      </c>
      <c r="C23" s="146">
        <f>+C25++C40</f>
        <v>63</v>
      </c>
    </row>
    <row r="24" spans="1:3" ht="14.25">
      <c r="A24" s="146"/>
      <c r="B24" s="161" t="s">
        <v>207</v>
      </c>
      <c r="C24" s="146"/>
    </row>
    <row r="25" spans="1:3" ht="14.25">
      <c r="A25" s="150" t="s">
        <v>210</v>
      </c>
      <c r="B25" s="25" t="s">
        <v>208</v>
      </c>
      <c r="C25" s="146">
        <f>+C26+C33</f>
        <v>41</v>
      </c>
    </row>
    <row r="26" spans="1:3" ht="14.25">
      <c r="A26" s="146"/>
      <c r="B26" s="161" t="s">
        <v>110</v>
      </c>
      <c r="C26" s="146">
        <v>36</v>
      </c>
    </row>
    <row r="27" spans="1:8" ht="15">
      <c r="A27" s="146"/>
      <c r="B27" s="62" t="s">
        <v>102</v>
      </c>
      <c r="C27" s="146"/>
      <c r="F27" s="300"/>
      <c r="H27" s="301"/>
    </row>
    <row r="28" spans="1:3" ht="13.5">
      <c r="A28" s="146">
        <v>1</v>
      </c>
      <c r="B28" s="62" t="s">
        <v>598</v>
      </c>
      <c r="C28" s="146">
        <v>11</v>
      </c>
    </row>
    <row r="29" spans="1:3" ht="13.5">
      <c r="A29" s="146">
        <v>2</v>
      </c>
      <c r="B29" s="62" t="s">
        <v>599</v>
      </c>
      <c r="C29" s="146">
        <v>9</v>
      </c>
    </row>
    <row r="30" spans="1:3" ht="13.5">
      <c r="A30" s="146">
        <v>3</v>
      </c>
      <c r="B30" s="62" t="s">
        <v>600</v>
      </c>
      <c r="C30" s="146">
        <v>5</v>
      </c>
    </row>
    <row r="31" spans="1:3" ht="13.5">
      <c r="A31" s="146">
        <v>4</v>
      </c>
      <c r="B31" s="62" t="s">
        <v>601</v>
      </c>
      <c r="C31" s="146">
        <v>7</v>
      </c>
    </row>
    <row r="32" spans="1:3" ht="13.5">
      <c r="A32" s="146">
        <v>5</v>
      </c>
      <c r="B32" s="62" t="s">
        <v>602</v>
      </c>
      <c r="C32" s="146">
        <v>4</v>
      </c>
    </row>
    <row r="33" spans="1:3" ht="14.25">
      <c r="A33" s="146"/>
      <c r="B33" s="161" t="s">
        <v>111</v>
      </c>
      <c r="C33" s="146">
        <f>SUM(C35:C38)</f>
        <v>5</v>
      </c>
    </row>
    <row r="34" spans="1:3" ht="13.5">
      <c r="A34" s="146"/>
      <c r="B34" s="62" t="s">
        <v>102</v>
      </c>
      <c r="C34" s="146"/>
    </row>
    <row r="35" spans="1:3" ht="13.5">
      <c r="A35" s="146">
        <v>1</v>
      </c>
      <c r="B35" s="62" t="s">
        <v>603</v>
      </c>
      <c r="C35" s="146">
        <v>3</v>
      </c>
    </row>
    <row r="36" spans="1:3" ht="13.5">
      <c r="A36" s="146">
        <v>2</v>
      </c>
      <c r="B36" s="62" t="s">
        <v>604</v>
      </c>
      <c r="C36" s="146">
        <v>2</v>
      </c>
    </row>
    <row r="37" spans="1:3" ht="13.5">
      <c r="A37" s="146">
        <v>3</v>
      </c>
      <c r="B37" s="62"/>
      <c r="C37" s="146"/>
    </row>
    <row r="38" spans="1:3" ht="13.5">
      <c r="A38" s="146">
        <v>4</v>
      </c>
      <c r="B38" s="62"/>
      <c r="C38" s="146"/>
    </row>
    <row r="39" spans="1:3" ht="13.5">
      <c r="A39" s="146"/>
      <c r="B39" s="62"/>
      <c r="C39" s="146"/>
    </row>
    <row r="40" spans="1:3" ht="14.25">
      <c r="A40" s="150" t="s">
        <v>209</v>
      </c>
      <c r="B40" s="25" t="s">
        <v>211</v>
      </c>
      <c r="C40" s="146">
        <v>22</v>
      </c>
    </row>
    <row r="41" spans="1:3" ht="14.25">
      <c r="A41" s="146"/>
      <c r="B41" s="161" t="s">
        <v>110</v>
      </c>
      <c r="C41" s="146">
        <f>SUM(C43:C46)</f>
        <v>20</v>
      </c>
    </row>
    <row r="42" spans="1:8" ht="15">
      <c r="A42" s="146"/>
      <c r="B42" s="62" t="s">
        <v>102</v>
      </c>
      <c r="C42" s="146"/>
      <c r="F42" s="300"/>
      <c r="H42" s="301"/>
    </row>
    <row r="43" spans="1:3" ht="13.5">
      <c r="A43" s="146">
        <v>1</v>
      </c>
      <c r="B43" s="62" t="s">
        <v>605</v>
      </c>
      <c r="C43" s="146">
        <v>8</v>
      </c>
    </row>
    <row r="44" spans="1:3" ht="28.5" customHeight="1">
      <c r="A44" s="146">
        <v>2</v>
      </c>
      <c r="B44" s="62" t="s">
        <v>607</v>
      </c>
      <c r="C44" s="146">
        <v>12</v>
      </c>
    </row>
    <row r="45" spans="1:3" ht="13.5">
      <c r="A45" s="146">
        <v>3</v>
      </c>
      <c r="B45" s="62"/>
      <c r="C45" s="146"/>
    </row>
    <row r="46" spans="1:3" ht="13.5">
      <c r="A46" s="146">
        <v>4</v>
      </c>
      <c r="B46" s="62"/>
      <c r="C46" s="146"/>
    </row>
    <row r="47" spans="1:3" ht="14.25">
      <c r="A47" s="146"/>
      <c r="B47" s="63"/>
      <c r="C47" s="146"/>
    </row>
    <row r="48" spans="1:3" ht="14.25">
      <c r="A48" s="146"/>
      <c r="B48" s="161" t="s">
        <v>111</v>
      </c>
      <c r="C48" s="146">
        <f>SUM(C50:C53)</f>
        <v>2</v>
      </c>
    </row>
    <row r="49" spans="1:3" ht="13.5">
      <c r="A49" s="146"/>
      <c r="B49" s="62" t="s">
        <v>102</v>
      </c>
      <c r="C49" s="146"/>
    </row>
    <row r="50" spans="1:3" ht="13.5">
      <c r="A50" s="146">
        <v>1</v>
      </c>
      <c r="B50" s="560" t="s">
        <v>606</v>
      </c>
      <c r="C50" s="146">
        <v>2</v>
      </c>
    </row>
    <row r="51" spans="1:3" ht="13.5">
      <c r="A51" s="146">
        <v>2</v>
      </c>
      <c r="B51" s="62"/>
      <c r="C51" s="146"/>
    </row>
    <row r="52" spans="1:3" ht="13.5">
      <c r="A52" s="146">
        <v>3</v>
      </c>
      <c r="B52" s="62"/>
      <c r="C52" s="146"/>
    </row>
    <row r="53" spans="1:3" ht="13.5">
      <c r="A53" s="146">
        <v>4</v>
      </c>
      <c r="B53" s="62"/>
      <c r="C53" s="146"/>
    </row>
    <row r="54" spans="1:3" ht="14.25">
      <c r="A54" s="146"/>
      <c r="B54" s="161"/>
      <c r="C54" s="302"/>
    </row>
    <row r="55" spans="1:3" ht="14.25">
      <c r="A55" s="146" t="s">
        <v>158</v>
      </c>
      <c r="B55" s="161" t="s">
        <v>212</v>
      </c>
      <c r="C55" s="146">
        <f>SUM(C57:C60)</f>
        <v>0</v>
      </c>
    </row>
    <row r="56" spans="1:3" ht="13.5">
      <c r="A56" s="146"/>
      <c r="B56" s="62" t="s">
        <v>102</v>
      </c>
      <c r="C56" s="146"/>
    </row>
    <row r="57" spans="1:3" ht="13.5">
      <c r="A57" s="146">
        <v>1</v>
      </c>
      <c r="B57" s="62"/>
      <c r="C57" s="146"/>
    </row>
    <row r="58" spans="1:3" ht="13.5">
      <c r="A58" s="146">
        <v>2</v>
      </c>
      <c r="B58" s="62"/>
      <c r="C58" s="146"/>
    </row>
    <row r="59" spans="1:3" ht="13.5">
      <c r="A59" s="146">
        <v>3</v>
      </c>
      <c r="B59" s="62"/>
      <c r="C59" s="146"/>
    </row>
    <row r="60" spans="1:3" ht="13.5">
      <c r="A60" s="146">
        <v>4</v>
      </c>
      <c r="B60" s="62"/>
      <c r="C60" s="146"/>
    </row>
    <row r="61" spans="1:3" ht="28.5">
      <c r="A61" s="146" t="s">
        <v>8</v>
      </c>
      <c r="B61" s="25" t="s">
        <v>157</v>
      </c>
      <c r="C61" s="146">
        <v>6</v>
      </c>
    </row>
    <row r="62" spans="1:3" ht="13.5">
      <c r="A62" s="146"/>
      <c r="B62" s="62"/>
      <c r="C62" s="146"/>
    </row>
    <row r="63" spans="1:3" s="153" customFormat="1" ht="30.75" customHeight="1">
      <c r="A63" s="150"/>
      <c r="B63" s="303" t="s">
        <v>159</v>
      </c>
      <c r="C63" s="150">
        <v>81</v>
      </c>
    </row>
  </sheetData>
  <sheetProtection/>
  <mergeCells count="4">
    <mergeCell ref="B9:C9"/>
    <mergeCell ref="A5:C5"/>
    <mergeCell ref="A6:C6"/>
    <mergeCell ref="B4:C4"/>
  </mergeCells>
  <printOptions/>
  <pageMargins left="0.24" right="0.35" top="0.37" bottom="0.4" header="0.21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33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.57421875" style="3" customWidth="1"/>
    <col min="2" max="2" width="39.00390625" style="16" customWidth="1"/>
    <col min="3" max="3" width="10.7109375" style="16" customWidth="1"/>
    <col min="4" max="4" width="9.57421875" style="4" customWidth="1"/>
    <col min="5" max="5" width="12.57421875" style="4" customWidth="1"/>
    <col min="6" max="6" width="9.57421875" style="4" customWidth="1"/>
    <col min="7" max="7" width="11.140625" style="4" customWidth="1"/>
    <col min="8" max="8" width="15.00390625" style="4" customWidth="1"/>
    <col min="9" max="9" width="11.00390625" style="4" customWidth="1"/>
    <col min="10" max="10" width="15.00390625" style="4" customWidth="1"/>
    <col min="11" max="11" width="13.8515625" style="4" customWidth="1"/>
    <col min="12" max="12" width="10.8515625" style="4" customWidth="1"/>
    <col min="13" max="13" width="14.7109375" style="4" customWidth="1"/>
    <col min="14" max="14" width="11.7109375" style="4" customWidth="1"/>
    <col min="15" max="15" width="15.00390625" style="4" customWidth="1"/>
    <col min="16" max="16" width="9.421875" style="4" customWidth="1"/>
    <col min="17" max="17" width="11.8515625" style="4" customWidth="1"/>
    <col min="18" max="18" width="10.57421875" style="4" customWidth="1"/>
    <col min="19" max="19" width="9.00390625" style="4" customWidth="1"/>
    <col min="20" max="20" width="12.57421875" style="4" customWidth="1"/>
    <col min="21" max="21" width="11.57421875" style="4" customWidth="1"/>
    <col min="22" max="22" width="11.421875" style="4" customWidth="1"/>
    <col min="23" max="23" width="10.57421875" style="4" customWidth="1"/>
    <col min="24" max="24" width="9.28125" style="4" customWidth="1"/>
    <col min="25" max="25" width="10.57421875" style="4" customWidth="1"/>
    <col min="26" max="26" width="11.140625" style="4" customWidth="1"/>
    <col min="27" max="27" width="15.00390625" style="4" customWidth="1"/>
    <col min="28" max="28" width="11.00390625" style="4" customWidth="1"/>
    <col min="29" max="29" width="15.00390625" style="4" customWidth="1"/>
    <col min="30" max="30" width="13.8515625" style="4" customWidth="1"/>
    <col min="31" max="31" width="10.8515625" style="4" customWidth="1"/>
    <col min="32" max="32" width="14.7109375" style="4" customWidth="1"/>
    <col min="33" max="33" width="11.140625" style="4" customWidth="1"/>
    <col min="34" max="34" width="15.00390625" style="4" customWidth="1"/>
    <col min="35" max="35" width="11.00390625" style="4" customWidth="1"/>
    <col min="36" max="36" width="15.00390625" style="4" customWidth="1"/>
    <col min="37" max="37" width="13.8515625" style="4" customWidth="1"/>
    <col min="38" max="38" width="10.8515625" style="4" customWidth="1"/>
    <col min="39" max="39" width="14.7109375" style="4" customWidth="1"/>
    <col min="40" max="16384" width="9.140625" style="4" customWidth="1"/>
  </cols>
  <sheetData>
    <row r="1" spans="1:40" ht="16.5">
      <c r="A1" s="27"/>
      <c r="B1" s="289" t="s">
        <v>115</v>
      </c>
      <c r="C1" s="289"/>
      <c r="D1" s="28"/>
      <c r="E1" s="28"/>
      <c r="F1" s="28"/>
      <c r="G1" s="28"/>
      <c r="H1" s="28"/>
      <c r="I1" s="28"/>
      <c r="J1" s="28"/>
      <c r="K1" s="87"/>
      <c r="L1" s="28"/>
      <c r="M1" s="86" t="s">
        <v>124</v>
      </c>
      <c r="N1" s="87"/>
      <c r="O1" s="28"/>
      <c r="P1" s="28"/>
      <c r="Q1" s="28"/>
      <c r="R1" s="28"/>
      <c r="S1" s="87"/>
      <c r="T1" s="87"/>
      <c r="U1" s="87"/>
      <c r="V1" s="28"/>
      <c r="W1" s="86"/>
      <c r="X1" s="87"/>
      <c r="Y1" s="28"/>
      <c r="Z1" s="115"/>
      <c r="AA1" s="115"/>
      <c r="AB1" s="115"/>
      <c r="AC1" s="115"/>
      <c r="AD1" s="18"/>
      <c r="AE1" s="115"/>
      <c r="AF1" s="86"/>
      <c r="AG1" s="115"/>
      <c r="AH1" s="115"/>
      <c r="AI1" s="115"/>
      <c r="AJ1" s="115"/>
      <c r="AK1" s="18"/>
      <c r="AL1" s="115"/>
      <c r="AM1" s="86"/>
      <c r="AN1" s="116"/>
    </row>
    <row r="2" spans="1:40" ht="27.75" customHeight="1" thickBot="1">
      <c r="A2" s="27"/>
      <c r="B2" s="708" t="s">
        <v>949</v>
      </c>
      <c r="C2" s="708"/>
      <c r="D2" s="708"/>
      <c r="E2" s="708"/>
      <c r="F2" s="112"/>
      <c r="G2" s="19"/>
      <c r="H2" s="112"/>
      <c r="I2" s="112"/>
      <c r="J2" s="112"/>
      <c r="L2" s="95"/>
      <c r="M2" s="213" t="s">
        <v>10</v>
      </c>
      <c r="N2" s="95"/>
      <c r="O2" s="7"/>
      <c r="P2" s="7"/>
      <c r="Q2" s="95"/>
      <c r="R2" s="95"/>
      <c r="S2" s="7"/>
      <c r="T2" s="113"/>
      <c r="U2" s="632"/>
      <c r="V2" s="632"/>
      <c r="W2" s="632"/>
      <c r="X2" s="632"/>
      <c r="Y2" s="632"/>
      <c r="Z2" s="5"/>
      <c r="AA2" s="7"/>
      <c r="AB2" s="7"/>
      <c r="AC2" s="7"/>
      <c r="AD2" s="116"/>
      <c r="AE2" s="95"/>
      <c r="AF2" s="213"/>
      <c r="AG2" s="5"/>
      <c r="AH2" s="7"/>
      <c r="AI2" s="7"/>
      <c r="AJ2" s="7"/>
      <c r="AK2" s="116"/>
      <c r="AL2" s="95"/>
      <c r="AM2" s="213"/>
      <c r="AN2" s="116"/>
    </row>
    <row r="3" spans="1:39" s="116" customFormat="1" ht="13.5">
      <c r="A3" s="27"/>
      <c r="B3" s="290"/>
      <c r="C3" s="290"/>
      <c r="D3" s="87"/>
      <c r="E3" s="87"/>
      <c r="F3" s="87"/>
      <c r="G3" s="114"/>
      <c r="H3" s="87"/>
      <c r="I3" s="28"/>
      <c r="J3" s="28"/>
      <c r="K3" s="28"/>
      <c r="L3" s="28"/>
      <c r="M3" s="36" t="s">
        <v>113</v>
      </c>
      <c r="N3" s="31"/>
      <c r="O3" s="87"/>
      <c r="P3" s="28"/>
      <c r="Q3" s="28"/>
      <c r="R3" s="28"/>
      <c r="S3" s="28"/>
      <c r="T3" s="115"/>
      <c r="U3" s="28"/>
      <c r="V3" s="28"/>
      <c r="W3" s="28"/>
      <c r="X3" s="28"/>
      <c r="Y3" s="36"/>
      <c r="Z3" s="114"/>
      <c r="AA3" s="87"/>
      <c r="AB3" s="28"/>
      <c r="AC3" s="28"/>
      <c r="AD3" s="28"/>
      <c r="AE3" s="28"/>
      <c r="AF3" s="36"/>
      <c r="AG3" s="114"/>
      <c r="AH3" s="87"/>
      <c r="AI3" s="28"/>
      <c r="AJ3" s="28"/>
      <c r="AK3" s="28"/>
      <c r="AL3" s="28"/>
      <c r="AM3" s="36"/>
    </row>
    <row r="4" spans="1:39" s="592" customFormat="1" ht="12.75">
      <c r="A4" s="590"/>
      <c r="B4" s="591"/>
      <c r="C4" s="703" t="s">
        <v>340</v>
      </c>
      <c r="D4" s="703" t="s">
        <v>296</v>
      </c>
      <c r="E4" s="603"/>
      <c r="F4" s="604"/>
      <c r="G4" s="604"/>
      <c r="H4" s="604"/>
      <c r="I4" s="604"/>
      <c r="J4" s="604" t="s">
        <v>239</v>
      </c>
      <c r="K4" s="604"/>
      <c r="L4" s="604"/>
      <c r="M4" s="605"/>
      <c r="N4" s="606"/>
      <c r="O4" s="604"/>
      <c r="P4" s="606"/>
      <c r="Q4" s="606" t="s">
        <v>233</v>
      </c>
      <c r="R4" s="606"/>
      <c r="S4" s="606"/>
      <c r="T4" s="607"/>
      <c r="U4" s="710" t="s">
        <v>114</v>
      </c>
      <c r="V4" s="711"/>
      <c r="W4" s="711"/>
      <c r="X4" s="711"/>
      <c r="Y4" s="712"/>
      <c r="Z4" s="705" t="s">
        <v>293</v>
      </c>
      <c r="AA4" s="706"/>
      <c r="AB4" s="706"/>
      <c r="AC4" s="706"/>
      <c r="AD4" s="706"/>
      <c r="AE4" s="706"/>
      <c r="AF4" s="707"/>
      <c r="AG4" s="705" t="s">
        <v>359</v>
      </c>
      <c r="AH4" s="706"/>
      <c r="AI4" s="706"/>
      <c r="AJ4" s="706"/>
      <c r="AK4" s="706"/>
      <c r="AL4" s="706"/>
      <c r="AM4" s="707"/>
    </row>
    <row r="5" spans="1:39" s="594" customFormat="1" ht="76.5">
      <c r="A5" s="593" t="s">
        <v>60</v>
      </c>
      <c r="B5" s="611" t="s">
        <v>950</v>
      </c>
      <c r="C5" s="704"/>
      <c r="D5" s="704"/>
      <c r="E5" s="365" t="s">
        <v>116</v>
      </c>
      <c r="F5" s="365" t="s">
        <v>117</v>
      </c>
      <c r="G5" s="365" t="s">
        <v>109</v>
      </c>
      <c r="H5" s="608" t="s">
        <v>240</v>
      </c>
      <c r="I5" s="609" t="s">
        <v>241</v>
      </c>
      <c r="J5" s="610" t="s">
        <v>146</v>
      </c>
      <c r="K5" s="365" t="s">
        <v>118</v>
      </c>
      <c r="L5" s="365" t="s">
        <v>299</v>
      </c>
      <c r="M5" s="365" t="s">
        <v>302</v>
      </c>
      <c r="N5" s="365" t="s">
        <v>109</v>
      </c>
      <c r="O5" s="608" t="s">
        <v>234</v>
      </c>
      <c r="P5" s="609" t="s">
        <v>235</v>
      </c>
      <c r="Q5" s="365" t="s">
        <v>126</v>
      </c>
      <c r="R5" s="365" t="s">
        <v>118</v>
      </c>
      <c r="S5" s="365" t="s">
        <v>299</v>
      </c>
      <c r="T5" s="365" t="s">
        <v>301</v>
      </c>
      <c r="U5" s="365" t="s">
        <v>109</v>
      </c>
      <c r="V5" s="365" t="s">
        <v>126</v>
      </c>
      <c r="W5" s="365" t="s">
        <v>118</v>
      </c>
      <c r="X5" s="365" t="s">
        <v>299</v>
      </c>
      <c r="Y5" s="365" t="s">
        <v>305</v>
      </c>
      <c r="Z5" s="365" t="s">
        <v>109</v>
      </c>
      <c r="AA5" s="608" t="s">
        <v>297</v>
      </c>
      <c r="AB5" s="609" t="s">
        <v>298</v>
      </c>
      <c r="AC5" s="365" t="s">
        <v>126</v>
      </c>
      <c r="AD5" s="365" t="s">
        <v>118</v>
      </c>
      <c r="AE5" s="365" t="s">
        <v>299</v>
      </c>
      <c r="AF5" s="365" t="s">
        <v>303</v>
      </c>
      <c r="AG5" s="365" t="s">
        <v>109</v>
      </c>
      <c r="AH5" s="608" t="s">
        <v>360</v>
      </c>
      <c r="AI5" s="609" t="s">
        <v>361</v>
      </c>
      <c r="AJ5" s="365" t="s">
        <v>126</v>
      </c>
      <c r="AK5" s="365" t="s">
        <v>118</v>
      </c>
      <c r="AL5" s="365" t="s">
        <v>299</v>
      </c>
      <c r="AM5" s="365" t="s">
        <v>304</v>
      </c>
    </row>
    <row r="6" spans="1:39" s="601" customFormat="1" ht="12.75">
      <c r="A6" s="599">
        <v>1</v>
      </c>
      <c r="B6" s="599">
        <v>2</v>
      </c>
      <c r="C6" s="599"/>
      <c r="D6" s="599">
        <v>3</v>
      </c>
      <c r="E6" s="599">
        <v>4</v>
      </c>
      <c r="F6" s="599">
        <v>5</v>
      </c>
      <c r="G6" s="600">
        <v>6</v>
      </c>
      <c r="H6" s="599">
        <v>7</v>
      </c>
      <c r="I6" s="600">
        <v>8</v>
      </c>
      <c r="J6" s="599">
        <v>9</v>
      </c>
      <c r="K6" s="600">
        <v>10</v>
      </c>
      <c r="L6" s="599">
        <v>11</v>
      </c>
      <c r="M6" s="600">
        <v>12</v>
      </c>
      <c r="N6" s="599">
        <v>13</v>
      </c>
      <c r="O6" s="600">
        <v>14</v>
      </c>
      <c r="P6" s="599">
        <v>15</v>
      </c>
      <c r="Q6" s="600">
        <v>16</v>
      </c>
      <c r="R6" s="599">
        <v>17</v>
      </c>
      <c r="S6" s="600">
        <v>18</v>
      </c>
      <c r="T6" s="599">
        <v>19</v>
      </c>
      <c r="U6" s="600">
        <v>20</v>
      </c>
      <c r="V6" s="599">
        <v>21</v>
      </c>
      <c r="W6" s="600">
        <v>22</v>
      </c>
      <c r="X6" s="599">
        <v>23</v>
      </c>
      <c r="Y6" s="600">
        <v>24</v>
      </c>
      <c r="Z6" s="599">
        <v>25</v>
      </c>
      <c r="AA6" s="600">
        <v>26</v>
      </c>
      <c r="AB6" s="599">
        <v>27</v>
      </c>
      <c r="AC6" s="600">
        <v>28</v>
      </c>
      <c r="AD6" s="599">
        <v>29</v>
      </c>
      <c r="AE6" s="600">
        <v>30</v>
      </c>
      <c r="AF6" s="599">
        <v>31</v>
      </c>
      <c r="AG6" s="600">
        <v>32</v>
      </c>
      <c r="AH6" s="599">
        <v>33</v>
      </c>
      <c r="AI6" s="600">
        <v>34</v>
      </c>
      <c r="AJ6" s="599">
        <v>35</v>
      </c>
      <c r="AK6" s="600">
        <v>36</v>
      </c>
      <c r="AL6" s="599">
        <v>37</v>
      </c>
      <c r="AM6" s="600">
        <v>38</v>
      </c>
    </row>
    <row r="7" spans="1:39" s="595" customFormat="1" ht="12.75">
      <c r="A7" s="564" t="s">
        <v>2</v>
      </c>
      <c r="B7" s="565" t="s">
        <v>213</v>
      </c>
      <c r="C7" s="565"/>
      <c r="D7" s="566"/>
      <c r="E7" s="566"/>
      <c r="F7" s="566"/>
      <c r="G7" s="567"/>
      <c r="H7" s="566"/>
      <c r="I7" s="566"/>
      <c r="J7" s="566"/>
      <c r="K7" s="566"/>
      <c r="L7" s="566"/>
      <c r="M7" s="566"/>
      <c r="N7" s="567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7"/>
      <c r="AA7" s="566"/>
      <c r="AB7" s="566"/>
      <c r="AC7" s="566"/>
      <c r="AD7" s="566"/>
      <c r="AE7" s="566"/>
      <c r="AF7" s="566"/>
      <c r="AG7" s="567"/>
      <c r="AH7" s="566"/>
      <c r="AI7" s="566"/>
      <c r="AJ7" s="566"/>
      <c r="AK7" s="566"/>
      <c r="AL7" s="566"/>
      <c r="AM7" s="566"/>
    </row>
    <row r="8" spans="1:39" s="595" customFormat="1" ht="12.75">
      <c r="A8" s="568"/>
      <c r="B8" s="569" t="s">
        <v>102</v>
      </c>
      <c r="C8" s="569"/>
      <c r="D8" s="566"/>
      <c r="E8" s="566"/>
      <c r="F8" s="566"/>
      <c r="G8" s="568"/>
      <c r="H8" s="566"/>
      <c r="I8" s="566"/>
      <c r="J8" s="566"/>
      <c r="K8" s="566"/>
      <c r="L8" s="566"/>
      <c r="M8" s="566"/>
      <c r="N8" s="568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8"/>
      <c r="AA8" s="566"/>
      <c r="AB8" s="566"/>
      <c r="AC8" s="566"/>
      <c r="AD8" s="566"/>
      <c r="AE8" s="566"/>
      <c r="AF8" s="566"/>
      <c r="AG8" s="568"/>
      <c r="AH8" s="566"/>
      <c r="AI8" s="566"/>
      <c r="AJ8" s="566"/>
      <c r="AK8" s="566"/>
      <c r="AL8" s="566"/>
      <c r="AM8" s="566"/>
    </row>
    <row r="9" spans="1:39" s="595" customFormat="1" ht="12.75">
      <c r="A9" s="568">
        <v>1</v>
      </c>
      <c r="B9" s="602" t="s">
        <v>612</v>
      </c>
      <c r="C9" s="570" t="s">
        <v>613</v>
      </c>
      <c r="D9" s="570">
        <v>1980</v>
      </c>
      <c r="E9" s="570" t="s">
        <v>614</v>
      </c>
      <c r="F9" s="571" t="s">
        <v>1</v>
      </c>
      <c r="G9" s="570">
        <v>1</v>
      </c>
      <c r="H9" s="570" t="s">
        <v>615</v>
      </c>
      <c r="I9" s="571">
        <v>10</v>
      </c>
      <c r="J9" s="570">
        <v>832000</v>
      </c>
      <c r="K9" s="570">
        <v>0</v>
      </c>
      <c r="L9" s="570">
        <v>0</v>
      </c>
      <c r="M9" s="571">
        <f>J9+K9+L9</f>
        <v>832000</v>
      </c>
      <c r="N9" s="572">
        <v>1</v>
      </c>
      <c r="O9" s="570" t="s">
        <v>616</v>
      </c>
      <c r="P9" s="571">
        <v>10</v>
      </c>
      <c r="Q9" s="572">
        <v>832000</v>
      </c>
      <c r="R9" s="572">
        <v>0</v>
      </c>
      <c r="S9" s="572">
        <v>0</v>
      </c>
      <c r="T9" s="571">
        <f>Q9+R9+S9</f>
        <v>832000</v>
      </c>
      <c r="U9" s="571">
        <f>+G9-N9</f>
        <v>0</v>
      </c>
      <c r="V9" s="571">
        <f aca="true" t="shared" si="0" ref="V9:X11">J9-Q9</f>
        <v>0</v>
      </c>
      <c r="W9" s="571">
        <f t="shared" si="0"/>
        <v>0</v>
      </c>
      <c r="X9" s="571">
        <f>L9-S9</f>
        <v>0</v>
      </c>
      <c r="Y9" s="571">
        <f>V9+W9+X9</f>
        <v>0</v>
      </c>
      <c r="Z9" s="570">
        <v>1</v>
      </c>
      <c r="AA9" s="570" t="s">
        <v>617</v>
      </c>
      <c r="AB9" s="571">
        <v>10</v>
      </c>
      <c r="AC9" s="570">
        <v>832000</v>
      </c>
      <c r="AD9" s="570">
        <v>0</v>
      </c>
      <c r="AE9" s="570">
        <v>0</v>
      </c>
      <c r="AF9" s="571">
        <f>AC9+AD9+AE9</f>
        <v>832000</v>
      </c>
      <c r="AG9" s="570">
        <v>1</v>
      </c>
      <c r="AH9" s="570" t="s">
        <v>618</v>
      </c>
      <c r="AI9" s="571">
        <v>10</v>
      </c>
      <c r="AJ9" s="570">
        <v>832000</v>
      </c>
      <c r="AK9" s="570">
        <v>0</v>
      </c>
      <c r="AL9" s="570">
        <v>0</v>
      </c>
      <c r="AM9" s="571">
        <f>AJ9+AK9+AL9</f>
        <v>832000</v>
      </c>
    </row>
    <row r="10" spans="1:39" s="595" customFormat="1" ht="25.5">
      <c r="A10" s="568">
        <v>2</v>
      </c>
      <c r="B10" s="576" t="s">
        <v>619</v>
      </c>
      <c r="C10" s="573" t="s">
        <v>613</v>
      </c>
      <c r="D10" s="570">
        <v>1991</v>
      </c>
      <c r="E10" s="570" t="s">
        <v>620</v>
      </c>
      <c r="F10" s="571" t="s">
        <v>1</v>
      </c>
      <c r="G10" s="570">
        <v>1</v>
      </c>
      <c r="H10" s="571" t="s">
        <v>621</v>
      </c>
      <c r="I10" s="571">
        <v>8</v>
      </c>
      <c r="J10" s="570">
        <v>665600</v>
      </c>
      <c r="K10" s="570">
        <v>0</v>
      </c>
      <c r="L10" s="570">
        <v>0</v>
      </c>
      <c r="M10" s="571">
        <f>J10+K10+L10</f>
        <v>665600</v>
      </c>
      <c r="N10" s="572">
        <v>1</v>
      </c>
      <c r="O10" s="570" t="s">
        <v>622</v>
      </c>
      <c r="P10" s="571">
        <v>8</v>
      </c>
      <c r="Q10" s="572">
        <v>665600</v>
      </c>
      <c r="R10" s="572">
        <v>0</v>
      </c>
      <c r="S10" s="572">
        <v>0</v>
      </c>
      <c r="T10" s="571">
        <f>Q10+R10+S10</f>
        <v>665600</v>
      </c>
      <c r="U10" s="571">
        <f>+G10-N10</f>
        <v>0</v>
      </c>
      <c r="V10" s="571">
        <f t="shared" si="0"/>
        <v>0</v>
      </c>
      <c r="W10" s="571">
        <f t="shared" si="0"/>
        <v>0</v>
      </c>
      <c r="X10" s="571">
        <f t="shared" si="0"/>
        <v>0</v>
      </c>
      <c r="Y10" s="571">
        <f>V10+W10+X10</f>
        <v>0</v>
      </c>
      <c r="Z10" s="570">
        <v>1</v>
      </c>
      <c r="AA10" s="570" t="s">
        <v>623</v>
      </c>
      <c r="AB10" s="571">
        <v>8</v>
      </c>
      <c r="AC10" s="570">
        <v>665600</v>
      </c>
      <c r="AD10" s="570">
        <v>0</v>
      </c>
      <c r="AE10" s="570">
        <v>0</v>
      </c>
      <c r="AF10" s="571">
        <f>AC10+AD10+AE10</f>
        <v>665600</v>
      </c>
      <c r="AG10" s="570">
        <v>1</v>
      </c>
      <c r="AH10" s="570" t="s">
        <v>624</v>
      </c>
      <c r="AI10" s="571">
        <v>8</v>
      </c>
      <c r="AJ10" s="570">
        <v>665600</v>
      </c>
      <c r="AK10" s="570">
        <v>0</v>
      </c>
      <c r="AL10" s="570">
        <v>0</v>
      </c>
      <c r="AM10" s="571">
        <f>AJ10+AK10+AL10</f>
        <v>665600</v>
      </c>
    </row>
    <row r="11" spans="1:39" s="595" customFormat="1" ht="25.5">
      <c r="A11" s="568">
        <v>3</v>
      </c>
      <c r="B11" s="576" t="s">
        <v>625</v>
      </c>
      <c r="C11" s="573" t="s">
        <v>613</v>
      </c>
      <c r="D11" s="570">
        <v>1976</v>
      </c>
      <c r="E11" s="570" t="s">
        <v>620</v>
      </c>
      <c r="F11" s="571" t="s">
        <v>1</v>
      </c>
      <c r="G11" s="570">
        <v>1</v>
      </c>
      <c r="H11" s="571" t="s">
        <v>626</v>
      </c>
      <c r="I11" s="571">
        <v>8</v>
      </c>
      <c r="J11" s="570">
        <v>665600</v>
      </c>
      <c r="K11" s="570">
        <v>0</v>
      </c>
      <c r="L11" s="570">
        <v>0</v>
      </c>
      <c r="M11" s="571">
        <f>J11+K11+L11</f>
        <v>665600</v>
      </c>
      <c r="N11" s="572">
        <v>1</v>
      </c>
      <c r="O11" s="571" t="s">
        <v>627</v>
      </c>
      <c r="P11" s="571">
        <v>8</v>
      </c>
      <c r="Q11" s="572">
        <v>665600</v>
      </c>
      <c r="R11" s="572">
        <v>0</v>
      </c>
      <c r="S11" s="572">
        <v>0</v>
      </c>
      <c r="T11" s="571">
        <f>Q11+R11+S11</f>
        <v>665600</v>
      </c>
      <c r="U11" s="571">
        <f>+G11-N11</f>
        <v>0</v>
      </c>
      <c r="V11" s="571">
        <f t="shared" si="0"/>
        <v>0</v>
      </c>
      <c r="W11" s="571">
        <f t="shared" si="0"/>
        <v>0</v>
      </c>
      <c r="X11" s="571">
        <f t="shared" si="0"/>
        <v>0</v>
      </c>
      <c r="Y11" s="571">
        <f>V11+W11+X11</f>
        <v>0</v>
      </c>
      <c r="Z11" s="570">
        <v>1</v>
      </c>
      <c r="AA11" s="571" t="s">
        <v>628</v>
      </c>
      <c r="AB11" s="571">
        <v>8</v>
      </c>
      <c r="AC11" s="570">
        <v>665600</v>
      </c>
      <c r="AD11" s="570">
        <v>0</v>
      </c>
      <c r="AE11" s="570">
        <v>0</v>
      </c>
      <c r="AF11" s="571">
        <f>AC11+AD11+AE11</f>
        <v>665600</v>
      </c>
      <c r="AG11" s="570">
        <v>1</v>
      </c>
      <c r="AH11" s="571" t="s">
        <v>629</v>
      </c>
      <c r="AI11" s="571">
        <v>8</v>
      </c>
      <c r="AJ11" s="570">
        <v>665600</v>
      </c>
      <c r="AK11" s="570">
        <v>0</v>
      </c>
      <c r="AL11" s="570">
        <v>0</v>
      </c>
      <c r="AM11" s="571">
        <f>AJ11+AK11+AL11</f>
        <v>665600</v>
      </c>
    </row>
    <row r="12" spans="1:39" s="596" customFormat="1" ht="12.75">
      <c r="A12" s="564"/>
      <c r="B12" s="574" t="s">
        <v>59</v>
      </c>
      <c r="C12" s="574"/>
      <c r="D12" s="575" t="s">
        <v>1</v>
      </c>
      <c r="E12" s="575" t="s">
        <v>1</v>
      </c>
      <c r="F12" s="575" t="s">
        <v>1</v>
      </c>
      <c r="G12" s="575">
        <f>SUM(G9:G11)</f>
        <v>3</v>
      </c>
      <c r="H12" s="575" t="s">
        <v>1</v>
      </c>
      <c r="I12" s="575" t="s">
        <v>1</v>
      </c>
      <c r="J12" s="575">
        <f>SUM(J9:J11)</f>
        <v>2163200</v>
      </c>
      <c r="K12" s="575">
        <f>SUM(K9:K11)</f>
        <v>0</v>
      </c>
      <c r="L12" s="575">
        <f>SUM(L9:L11)</f>
        <v>0</v>
      </c>
      <c r="M12" s="575">
        <f>SUM(M9:M11)</f>
        <v>2163200</v>
      </c>
      <c r="N12" s="575">
        <f>SUM(N9:N11)</f>
        <v>3</v>
      </c>
      <c r="O12" s="575" t="s">
        <v>1</v>
      </c>
      <c r="P12" s="575" t="s">
        <v>1</v>
      </c>
      <c r="Q12" s="575">
        <f aca="true" t="shared" si="1" ref="Q12:Z12">SUM(Q9:Q11)</f>
        <v>2163200</v>
      </c>
      <c r="R12" s="575">
        <f t="shared" si="1"/>
        <v>0</v>
      </c>
      <c r="S12" s="575">
        <f t="shared" si="1"/>
        <v>0</v>
      </c>
      <c r="T12" s="575">
        <f t="shared" si="1"/>
        <v>2163200</v>
      </c>
      <c r="U12" s="575">
        <f t="shared" si="1"/>
        <v>0</v>
      </c>
      <c r="V12" s="575">
        <f t="shared" si="1"/>
        <v>0</v>
      </c>
      <c r="W12" s="575">
        <f t="shared" si="1"/>
        <v>0</v>
      </c>
      <c r="X12" s="575">
        <f t="shared" si="1"/>
        <v>0</v>
      </c>
      <c r="Y12" s="575">
        <f t="shared" si="1"/>
        <v>0</v>
      </c>
      <c r="Z12" s="575">
        <f t="shared" si="1"/>
        <v>3</v>
      </c>
      <c r="AA12" s="575" t="s">
        <v>1</v>
      </c>
      <c r="AB12" s="575" t="s">
        <v>1</v>
      </c>
      <c r="AC12" s="575">
        <f>SUM(AC9:AC11)</f>
        <v>2163200</v>
      </c>
      <c r="AD12" s="575">
        <f>SUM(AD9:AD11)</f>
        <v>0</v>
      </c>
      <c r="AE12" s="575">
        <f>SUM(AE9:AE11)</f>
        <v>0</v>
      </c>
      <c r="AF12" s="575">
        <f>SUM(AF9:AF11)</f>
        <v>2163200</v>
      </c>
      <c r="AG12" s="575">
        <f>SUM(AG9:AG11)</f>
        <v>3</v>
      </c>
      <c r="AH12" s="575" t="s">
        <v>1</v>
      </c>
      <c r="AI12" s="575" t="s">
        <v>1</v>
      </c>
      <c r="AJ12" s="575">
        <f>SUM(AJ9:AJ11)</f>
        <v>2163200</v>
      </c>
      <c r="AK12" s="575">
        <f>SUM(AK9:AK11)</f>
        <v>0</v>
      </c>
      <c r="AL12" s="575">
        <f>SUM(AL9:AL11)</f>
        <v>0</v>
      </c>
      <c r="AM12" s="571">
        <f>AJ12+AK12+AL12</f>
        <v>2163200</v>
      </c>
    </row>
    <row r="13" spans="1:39" s="595" customFormat="1" ht="25.5">
      <c r="A13" s="564" t="s">
        <v>3</v>
      </c>
      <c r="B13" s="565" t="s">
        <v>219</v>
      </c>
      <c r="C13" s="565"/>
      <c r="D13" s="566"/>
      <c r="E13" s="566"/>
      <c r="F13" s="566"/>
      <c r="G13" s="567"/>
      <c r="H13" s="566"/>
      <c r="I13" s="566"/>
      <c r="J13" s="567"/>
      <c r="K13" s="567"/>
      <c r="L13" s="567"/>
      <c r="M13" s="567"/>
      <c r="N13" s="567"/>
      <c r="O13" s="566"/>
      <c r="P13" s="566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6"/>
      <c r="AB13" s="566"/>
      <c r="AC13" s="567"/>
      <c r="AD13" s="567"/>
      <c r="AE13" s="567"/>
      <c r="AF13" s="567"/>
      <c r="AG13" s="567"/>
      <c r="AH13" s="566"/>
      <c r="AI13" s="566"/>
      <c r="AJ13" s="567"/>
      <c r="AK13" s="567"/>
      <c r="AL13" s="567"/>
      <c r="AM13" s="567"/>
    </row>
    <row r="14" spans="1:39" s="595" customFormat="1" ht="12.75">
      <c r="A14" s="568"/>
      <c r="B14" s="569" t="s">
        <v>102</v>
      </c>
      <c r="C14" s="569"/>
      <c r="D14" s="566"/>
      <c r="E14" s="566"/>
      <c r="F14" s="566"/>
      <c r="G14" s="568"/>
      <c r="H14" s="566"/>
      <c r="I14" s="566"/>
      <c r="J14" s="568"/>
      <c r="K14" s="568"/>
      <c r="L14" s="568"/>
      <c r="M14" s="568"/>
      <c r="N14" s="568"/>
      <c r="O14" s="566"/>
      <c r="P14" s="566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6"/>
      <c r="AB14" s="566"/>
      <c r="AC14" s="568"/>
      <c r="AD14" s="568"/>
      <c r="AE14" s="568"/>
      <c r="AF14" s="568"/>
      <c r="AG14" s="568"/>
      <c r="AH14" s="566"/>
      <c r="AI14" s="566"/>
      <c r="AJ14" s="568"/>
      <c r="AK14" s="568"/>
      <c r="AL14" s="568"/>
      <c r="AM14" s="568"/>
    </row>
    <row r="15" spans="1:39" s="595" customFormat="1" ht="25.5">
      <c r="A15" s="568">
        <v>1</v>
      </c>
      <c r="B15" s="573" t="s">
        <v>630</v>
      </c>
      <c r="C15" s="573" t="s">
        <v>613</v>
      </c>
      <c r="D15" s="570">
        <v>1978</v>
      </c>
      <c r="E15" s="570" t="s">
        <v>631</v>
      </c>
      <c r="F15" s="571" t="s">
        <v>1</v>
      </c>
      <c r="G15" s="570">
        <v>1</v>
      </c>
      <c r="H15" s="570" t="s">
        <v>615</v>
      </c>
      <c r="I15" s="571">
        <v>4.75</v>
      </c>
      <c r="J15" s="570">
        <v>395200</v>
      </c>
      <c r="K15" s="570">
        <v>0</v>
      </c>
      <c r="L15" s="570">
        <v>0</v>
      </c>
      <c r="M15" s="571">
        <f aca="true" t="shared" si="2" ref="M15:M21">J15+K15+L15</f>
        <v>395200</v>
      </c>
      <c r="N15" s="572">
        <v>1</v>
      </c>
      <c r="O15" s="570" t="s">
        <v>616</v>
      </c>
      <c r="P15" s="571">
        <v>4.75</v>
      </c>
      <c r="Q15" s="572">
        <v>395200</v>
      </c>
      <c r="R15" s="572">
        <v>0</v>
      </c>
      <c r="S15" s="572">
        <v>0</v>
      </c>
      <c r="T15" s="571">
        <f aca="true" t="shared" si="3" ref="T15:T21">Q15+R15+S15</f>
        <v>395200</v>
      </c>
      <c r="U15" s="571">
        <f aca="true" t="shared" si="4" ref="U15:U21">+G15-N15</f>
        <v>0</v>
      </c>
      <c r="V15" s="571">
        <f aca="true" t="shared" si="5" ref="V15:X21">J15-Q15</f>
        <v>0</v>
      </c>
      <c r="W15" s="571">
        <f t="shared" si="5"/>
        <v>0</v>
      </c>
      <c r="X15" s="571">
        <f t="shared" si="5"/>
        <v>0</v>
      </c>
      <c r="Y15" s="571">
        <f aca="true" t="shared" si="6" ref="Y15:Y21">V15+W15+X15</f>
        <v>0</v>
      </c>
      <c r="Z15" s="570">
        <v>1</v>
      </c>
      <c r="AA15" s="570" t="s">
        <v>617</v>
      </c>
      <c r="AB15" s="571">
        <v>4.75</v>
      </c>
      <c r="AC15" s="570">
        <v>395200</v>
      </c>
      <c r="AD15" s="570">
        <v>0</v>
      </c>
      <c r="AE15" s="570">
        <v>0</v>
      </c>
      <c r="AF15" s="571">
        <f aca="true" t="shared" si="7" ref="AF15:AF21">AC15+AD15+AE15</f>
        <v>395200</v>
      </c>
      <c r="AG15" s="570">
        <v>1</v>
      </c>
      <c r="AH15" s="570" t="s">
        <v>618</v>
      </c>
      <c r="AI15" s="571">
        <v>4.75</v>
      </c>
      <c r="AJ15" s="570">
        <v>395200</v>
      </c>
      <c r="AK15" s="570">
        <v>0</v>
      </c>
      <c r="AL15" s="570">
        <v>0</v>
      </c>
      <c r="AM15" s="571">
        <f aca="true" t="shared" si="8" ref="AM15:AM22">AJ15+AK15+AL15</f>
        <v>395200</v>
      </c>
    </row>
    <row r="16" spans="1:39" s="595" customFormat="1" ht="25.5">
      <c r="A16" s="568">
        <v>2</v>
      </c>
      <c r="B16" s="573" t="s">
        <v>632</v>
      </c>
      <c r="C16" s="573" t="s">
        <v>613</v>
      </c>
      <c r="D16" s="570">
        <v>1982</v>
      </c>
      <c r="E16" s="570" t="s">
        <v>631</v>
      </c>
      <c r="F16" s="571" t="s">
        <v>1</v>
      </c>
      <c r="G16" s="570">
        <v>1</v>
      </c>
      <c r="H16" s="570" t="s">
        <v>633</v>
      </c>
      <c r="I16" s="571">
        <v>4.75</v>
      </c>
      <c r="J16" s="570">
        <v>395200</v>
      </c>
      <c r="K16" s="570">
        <v>0</v>
      </c>
      <c r="L16" s="570">
        <v>0</v>
      </c>
      <c r="M16" s="571">
        <f t="shared" si="2"/>
        <v>395200</v>
      </c>
      <c r="N16" s="572">
        <v>1</v>
      </c>
      <c r="O16" s="570" t="s">
        <v>634</v>
      </c>
      <c r="P16" s="571">
        <v>4.75</v>
      </c>
      <c r="Q16" s="572">
        <v>395200</v>
      </c>
      <c r="R16" s="572">
        <v>0</v>
      </c>
      <c r="S16" s="572">
        <v>0</v>
      </c>
      <c r="T16" s="571">
        <f t="shared" si="3"/>
        <v>395200</v>
      </c>
      <c r="U16" s="571">
        <f t="shared" si="4"/>
        <v>0</v>
      </c>
      <c r="V16" s="571">
        <f t="shared" si="5"/>
        <v>0</v>
      </c>
      <c r="W16" s="571">
        <f t="shared" si="5"/>
        <v>0</v>
      </c>
      <c r="X16" s="571">
        <f t="shared" si="5"/>
        <v>0</v>
      </c>
      <c r="Y16" s="571">
        <f t="shared" si="6"/>
        <v>0</v>
      </c>
      <c r="Z16" s="570">
        <v>1</v>
      </c>
      <c r="AA16" s="570" t="s">
        <v>635</v>
      </c>
      <c r="AB16" s="571">
        <v>4.75</v>
      </c>
      <c r="AC16" s="570">
        <v>395200</v>
      </c>
      <c r="AD16" s="570">
        <v>0</v>
      </c>
      <c r="AE16" s="570">
        <v>0</v>
      </c>
      <c r="AF16" s="571">
        <f t="shared" si="7"/>
        <v>395200</v>
      </c>
      <c r="AG16" s="570">
        <v>1</v>
      </c>
      <c r="AH16" s="570" t="s">
        <v>636</v>
      </c>
      <c r="AI16" s="571">
        <v>4.75</v>
      </c>
      <c r="AJ16" s="570">
        <v>395200</v>
      </c>
      <c r="AK16" s="570">
        <v>0</v>
      </c>
      <c r="AL16" s="570">
        <v>0</v>
      </c>
      <c r="AM16" s="571">
        <f t="shared" si="8"/>
        <v>395200</v>
      </c>
    </row>
    <row r="17" spans="1:39" s="595" customFormat="1" ht="25.5">
      <c r="A17" s="568">
        <v>3</v>
      </c>
      <c r="B17" s="573" t="s">
        <v>637</v>
      </c>
      <c r="C17" s="573" t="s">
        <v>613</v>
      </c>
      <c r="D17" s="570">
        <v>1994</v>
      </c>
      <c r="E17" s="570" t="s">
        <v>631</v>
      </c>
      <c r="F17" s="571" t="s">
        <v>1</v>
      </c>
      <c r="G17" s="570">
        <v>1</v>
      </c>
      <c r="H17" s="570" t="s">
        <v>615</v>
      </c>
      <c r="I17" s="571">
        <v>4.75</v>
      </c>
      <c r="J17" s="570">
        <v>395200</v>
      </c>
      <c r="K17" s="570">
        <v>0</v>
      </c>
      <c r="L17" s="570">
        <v>0</v>
      </c>
      <c r="M17" s="571">
        <f t="shared" si="2"/>
        <v>395200</v>
      </c>
      <c r="N17" s="572">
        <v>1</v>
      </c>
      <c r="O17" s="570" t="s">
        <v>616</v>
      </c>
      <c r="P17" s="571">
        <v>4.75</v>
      </c>
      <c r="Q17" s="572">
        <v>395200</v>
      </c>
      <c r="R17" s="572">
        <v>0</v>
      </c>
      <c r="S17" s="572">
        <v>0</v>
      </c>
      <c r="T17" s="571">
        <f t="shared" si="3"/>
        <v>395200</v>
      </c>
      <c r="U17" s="571">
        <f t="shared" si="4"/>
        <v>0</v>
      </c>
      <c r="V17" s="571">
        <f t="shared" si="5"/>
        <v>0</v>
      </c>
      <c r="W17" s="571">
        <f t="shared" si="5"/>
        <v>0</v>
      </c>
      <c r="X17" s="571">
        <f t="shared" si="5"/>
        <v>0</v>
      </c>
      <c r="Y17" s="571">
        <f t="shared" si="6"/>
        <v>0</v>
      </c>
      <c r="Z17" s="570">
        <v>1</v>
      </c>
      <c r="AA17" s="570" t="s">
        <v>617</v>
      </c>
      <c r="AB17" s="571">
        <v>4.75</v>
      </c>
      <c r="AC17" s="570">
        <v>395200</v>
      </c>
      <c r="AD17" s="570">
        <v>0</v>
      </c>
      <c r="AE17" s="570">
        <v>0</v>
      </c>
      <c r="AF17" s="571">
        <f t="shared" si="7"/>
        <v>395200</v>
      </c>
      <c r="AG17" s="570">
        <v>1</v>
      </c>
      <c r="AH17" s="570" t="s">
        <v>618</v>
      </c>
      <c r="AI17" s="571">
        <v>4.75</v>
      </c>
      <c r="AJ17" s="570">
        <v>395200</v>
      </c>
      <c r="AK17" s="570">
        <v>0</v>
      </c>
      <c r="AL17" s="570">
        <v>0</v>
      </c>
      <c r="AM17" s="571">
        <f t="shared" si="8"/>
        <v>395200</v>
      </c>
    </row>
    <row r="18" spans="1:39" s="595" customFormat="1" ht="25.5">
      <c r="A18" s="568">
        <v>4</v>
      </c>
      <c r="B18" s="573" t="s">
        <v>638</v>
      </c>
      <c r="C18" s="573" t="s">
        <v>639</v>
      </c>
      <c r="D18" s="570">
        <v>1998</v>
      </c>
      <c r="E18" s="570" t="s">
        <v>640</v>
      </c>
      <c r="F18" s="571" t="s">
        <v>1</v>
      </c>
      <c r="G18" s="570">
        <v>1</v>
      </c>
      <c r="H18" s="570" t="s">
        <v>626</v>
      </c>
      <c r="I18" s="571">
        <v>4.5</v>
      </c>
      <c r="J18" s="570">
        <v>374400</v>
      </c>
      <c r="K18" s="570">
        <v>0</v>
      </c>
      <c r="L18" s="570">
        <v>0</v>
      </c>
      <c r="M18" s="571">
        <f>J18+K18+L18</f>
        <v>374400</v>
      </c>
      <c r="N18" s="572">
        <v>1</v>
      </c>
      <c r="O18" s="570" t="s">
        <v>627</v>
      </c>
      <c r="P18" s="571">
        <v>4.5</v>
      </c>
      <c r="Q18" s="572">
        <v>374400</v>
      </c>
      <c r="R18" s="572">
        <v>0</v>
      </c>
      <c r="S18" s="572">
        <v>0</v>
      </c>
      <c r="T18" s="571">
        <f>Q18+R18+S18</f>
        <v>374400</v>
      </c>
      <c r="U18" s="571">
        <f>+G18-N18</f>
        <v>0</v>
      </c>
      <c r="V18" s="571">
        <f>J18-Q18</f>
        <v>0</v>
      </c>
      <c r="W18" s="571">
        <f>K18-R18</f>
        <v>0</v>
      </c>
      <c r="X18" s="571">
        <f>L18-S18</f>
        <v>0</v>
      </c>
      <c r="Y18" s="571">
        <f>V18+W18+X18</f>
        <v>0</v>
      </c>
      <c r="Z18" s="570">
        <v>1</v>
      </c>
      <c r="AA18" s="570" t="s">
        <v>628</v>
      </c>
      <c r="AB18" s="571">
        <v>4.5</v>
      </c>
      <c r="AC18" s="570">
        <v>374400</v>
      </c>
      <c r="AD18" s="570">
        <v>0</v>
      </c>
      <c r="AE18" s="570">
        <v>0</v>
      </c>
      <c r="AF18" s="571">
        <f>AC18+AD18+AE18</f>
        <v>374400</v>
      </c>
      <c r="AG18" s="570">
        <v>1</v>
      </c>
      <c r="AH18" s="570" t="s">
        <v>629</v>
      </c>
      <c r="AI18" s="571">
        <v>4.5</v>
      </c>
      <c r="AJ18" s="570">
        <v>374400</v>
      </c>
      <c r="AK18" s="570">
        <v>0</v>
      </c>
      <c r="AL18" s="570">
        <v>0</v>
      </c>
      <c r="AM18" s="571">
        <f t="shared" si="8"/>
        <v>374400</v>
      </c>
    </row>
    <row r="19" spans="1:39" s="595" customFormat="1" ht="25.5">
      <c r="A19" s="568">
        <v>5</v>
      </c>
      <c r="B19" s="573" t="s">
        <v>641</v>
      </c>
      <c r="C19" s="573" t="s">
        <v>639</v>
      </c>
      <c r="D19" s="570">
        <v>1998</v>
      </c>
      <c r="E19" s="570" t="s">
        <v>640</v>
      </c>
      <c r="F19" s="571" t="s">
        <v>1</v>
      </c>
      <c r="G19" s="570">
        <v>1</v>
      </c>
      <c r="H19" s="570" t="s">
        <v>642</v>
      </c>
      <c r="I19" s="571">
        <v>4.5</v>
      </c>
      <c r="J19" s="570">
        <v>374400</v>
      </c>
      <c r="K19" s="570">
        <v>0</v>
      </c>
      <c r="L19" s="570">
        <v>0</v>
      </c>
      <c r="M19" s="571">
        <f t="shared" si="2"/>
        <v>374400</v>
      </c>
      <c r="N19" s="572">
        <v>1</v>
      </c>
      <c r="O19" s="570" t="s">
        <v>643</v>
      </c>
      <c r="P19" s="571">
        <v>4.5</v>
      </c>
      <c r="Q19" s="572">
        <v>374400</v>
      </c>
      <c r="R19" s="572">
        <v>0</v>
      </c>
      <c r="S19" s="572">
        <v>0</v>
      </c>
      <c r="T19" s="571">
        <f t="shared" si="3"/>
        <v>374400</v>
      </c>
      <c r="U19" s="571">
        <f t="shared" si="4"/>
        <v>0</v>
      </c>
      <c r="V19" s="571">
        <f t="shared" si="5"/>
        <v>0</v>
      </c>
      <c r="W19" s="571">
        <f t="shared" si="5"/>
        <v>0</v>
      </c>
      <c r="X19" s="571">
        <f t="shared" si="5"/>
        <v>0</v>
      </c>
      <c r="Y19" s="571">
        <f t="shared" si="6"/>
        <v>0</v>
      </c>
      <c r="Z19" s="570">
        <v>1</v>
      </c>
      <c r="AA19" s="570" t="s">
        <v>644</v>
      </c>
      <c r="AB19" s="571">
        <v>4.5</v>
      </c>
      <c r="AC19" s="570">
        <v>374400</v>
      </c>
      <c r="AD19" s="570">
        <v>0</v>
      </c>
      <c r="AE19" s="570">
        <v>0</v>
      </c>
      <c r="AF19" s="571">
        <f t="shared" si="7"/>
        <v>374400</v>
      </c>
      <c r="AG19" s="570">
        <v>1</v>
      </c>
      <c r="AH19" s="570" t="s">
        <v>645</v>
      </c>
      <c r="AI19" s="571">
        <v>4.5</v>
      </c>
      <c r="AJ19" s="570">
        <v>374400</v>
      </c>
      <c r="AK19" s="570">
        <v>0</v>
      </c>
      <c r="AL19" s="570">
        <v>0</v>
      </c>
      <c r="AM19" s="571">
        <f t="shared" si="8"/>
        <v>374400</v>
      </c>
    </row>
    <row r="20" spans="1:39" s="595" customFormat="1" ht="38.25">
      <c r="A20" s="568">
        <v>6</v>
      </c>
      <c r="B20" s="576" t="s">
        <v>646</v>
      </c>
      <c r="C20" s="573" t="s">
        <v>613</v>
      </c>
      <c r="D20" s="570">
        <v>1991</v>
      </c>
      <c r="E20" s="570" t="s">
        <v>647</v>
      </c>
      <c r="F20" s="571" t="s">
        <v>1</v>
      </c>
      <c r="G20" s="570">
        <v>1</v>
      </c>
      <c r="H20" s="570" t="s">
        <v>648</v>
      </c>
      <c r="I20" s="571">
        <v>3</v>
      </c>
      <c r="J20" s="570">
        <v>249600</v>
      </c>
      <c r="K20" s="570">
        <v>0</v>
      </c>
      <c r="L20" s="570">
        <v>0</v>
      </c>
      <c r="M20" s="571">
        <f t="shared" si="2"/>
        <v>249600</v>
      </c>
      <c r="N20" s="572">
        <v>1</v>
      </c>
      <c r="O20" s="570" t="s">
        <v>649</v>
      </c>
      <c r="P20" s="571">
        <v>3</v>
      </c>
      <c r="Q20" s="572">
        <v>249600</v>
      </c>
      <c r="R20" s="572">
        <v>0</v>
      </c>
      <c r="S20" s="572">
        <v>0</v>
      </c>
      <c r="T20" s="571">
        <f t="shared" si="3"/>
        <v>249600</v>
      </c>
      <c r="U20" s="571">
        <f t="shared" si="4"/>
        <v>0</v>
      </c>
      <c r="V20" s="571">
        <f t="shared" si="5"/>
        <v>0</v>
      </c>
      <c r="W20" s="571">
        <f t="shared" si="5"/>
        <v>0</v>
      </c>
      <c r="X20" s="571">
        <f t="shared" si="5"/>
        <v>0</v>
      </c>
      <c r="Y20" s="571">
        <f t="shared" si="6"/>
        <v>0</v>
      </c>
      <c r="Z20" s="570">
        <v>1</v>
      </c>
      <c r="AA20" s="570" t="s">
        <v>650</v>
      </c>
      <c r="AB20" s="571">
        <v>3</v>
      </c>
      <c r="AC20" s="570">
        <v>249600</v>
      </c>
      <c r="AD20" s="570">
        <v>0</v>
      </c>
      <c r="AE20" s="570">
        <v>0</v>
      </c>
      <c r="AF20" s="571">
        <f t="shared" si="7"/>
        <v>249600</v>
      </c>
      <c r="AG20" s="570">
        <v>1</v>
      </c>
      <c r="AH20" s="570" t="s">
        <v>651</v>
      </c>
      <c r="AI20" s="571">
        <v>3</v>
      </c>
      <c r="AJ20" s="570">
        <v>249600</v>
      </c>
      <c r="AK20" s="570">
        <v>0</v>
      </c>
      <c r="AL20" s="570">
        <v>0</v>
      </c>
      <c r="AM20" s="571">
        <f t="shared" si="8"/>
        <v>249600</v>
      </c>
    </row>
    <row r="21" spans="1:39" s="595" customFormat="1" ht="38.25">
      <c r="A21" s="568">
        <v>7</v>
      </c>
      <c r="B21" s="573" t="s">
        <v>652</v>
      </c>
      <c r="C21" s="573"/>
      <c r="D21" s="571"/>
      <c r="E21" s="570" t="s">
        <v>647</v>
      </c>
      <c r="F21" s="571" t="s">
        <v>1</v>
      </c>
      <c r="G21" s="570">
        <v>1</v>
      </c>
      <c r="H21" s="571" t="s">
        <v>1</v>
      </c>
      <c r="I21" s="571">
        <v>3</v>
      </c>
      <c r="J21" s="570">
        <v>249600</v>
      </c>
      <c r="K21" s="570">
        <v>0</v>
      </c>
      <c r="L21" s="570">
        <v>0</v>
      </c>
      <c r="M21" s="571">
        <f t="shared" si="2"/>
        <v>249600</v>
      </c>
      <c r="N21" s="572">
        <v>1</v>
      </c>
      <c r="O21" s="571" t="s">
        <v>1</v>
      </c>
      <c r="P21" s="571">
        <v>3</v>
      </c>
      <c r="Q21" s="572">
        <v>249600</v>
      </c>
      <c r="R21" s="572">
        <v>0</v>
      </c>
      <c r="S21" s="572">
        <v>0</v>
      </c>
      <c r="T21" s="571">
        <f t="shared" si="3"/>
        <v>249600</v>
      </c>
      <c r="U21" s="571">
        <f t="shared" si="4"/>
        <v>0</v>
      </c>
      <c r="V21" s="571">
        <f t="shared" si="5"/>
        <v>0</v>
      </c>
      <c r="W21" s="571">
        <f t="shared" si="5"/>
        <v>0</v>
      </c>
      <c r="X21" s="571">
        <f t="shared" si="5"/>
        <v>0</v>
      </c>
      <c r="Y21" s="571">
        <f t="shared" si="6"/>
        <v>0</v>
      </c>
      <c r="Z21" s="570">
        <v>1</v>
      </c>
      <c r="AA21" s="571" t="s">
        <v>1</v>
      </c>
      <c r="AB21" s="571">
        <v>3</v>
      </c>
      <c r="AC21" s="570">
        <v>249600</v>
      </c>
      <c r="AD21" s="570">
        <v>0</v>
      </c>
      <c r="AE21" s="570">
        <v>0</v>
      </c>
      <c r="AF21" s="571">
        <f t="shared" si="7"/>
        <v>249600</v>
      </c>
      <c r="AG21" s="570">
        <v>1</v>
      </c>
      <c r="AH21" s="571" t="s">
        <v>1</v>
      </c>
      <c r="AI21" s="571">
        <v>3</v>
      </c>
      <c r="AJ21" s="570">
        <v>249600</v>
      </c>
      <c r="AK21" s="570">
        <v>0</v>
      </c>
      <c r="AL21" s="570">
        <v>0</v>
      </c>
      <c r="AM21" s="571">
        <f t="shared" si="8"/>
        <v>249600</v>
      </c>
    </row>
    <row r="22" spans="1:39" s="596" customFormat="1" ht="12.75">
      <c r="A22" s="564"/>
      <c r="B22" s="574" t="s">
        <v>59</v>
      </c>
      <c r="C22" s="574"/>
      <c r="D22" s="575" t="s">
        <v>1</v>
      </c>
      <c r="E22" s="575" t="s">
        <v>1</v>
      </c>
      <c r="F22" s="575" t="s">
        <v>1</v>
      </c>
      <c r="G22" s="575">
        <f>SUM(G15:G21)</f>
        <v>7</v>
      </c>
      <c r="H22" s="575" t="s">
        <v>1</v>
      </c>
      <c r="I22" s="575" t="s">
        <v>1</v>
      </c>
      <c r="J22" s="575">
        <f>SUM(J15:J21)</f>
        <v>2433600</v>
      </c>
      <c r="K22" s="575">
        <f>SUM(K15:K21)</f>
        <v>0</v>
      </c>
      <c r="L22" s="575">
        <f>SUM(L15:L21)</f>
        <v>0</v>
      </c>
      <c r="M22" s="575">
        <f>SUM(M15:M21)</f>
        <v>2433600</v>
      </c>
      <c r="N22" s="575">
        <f>SUM(N15:N21)</f>
        <v>7</v>
      </c>
      <c r="O22" s="575" t="s">
        <v>1</v>
      </c>
      <c r="P22" s="575" t="s">
        <v>1</v>
      </c>
      <c r="Q22" s="575">
        <f aca="true" t="shared" si="9" ref="Q22:Z22">SUM(Q15:Q21)</f>
        <v>2433600</v>
      </c>
      <c r="R22" s="575">
        <f t="shared" si="9"/>
        <v>0</v>
      </c>
      <c r="S22" s="575">
        <f t="shared" si="9"/>
        <v>0</v>
      </c>
      <c r="T22" s="575">
        <f t="shared" si="9"/>
        <v>2433600</v>
      </c>
      <c r="U22" s="575">
        <f t="shared" si="9"/>
        <v>0</v>
      </c>
      <c r="V22" s="575">
        <f t="shared" si="9"/>
        <v>0</v>
      </c>
      <c r="W22" s="575">
        <f t="shared" si="9"/>
        <v>0</v>
      </c>
      <c r="X22" s="575">
        <f t="shared" si="9"/>
        <v>0</v>
      </c>
      <c r="Y22" s="575">
        <f t="shared" si="9"/>
        <v>0</v>
      </c>
      <c r="Z22" s="575">
        <f t="shared" si="9"/>
        <v>7</v>
      </c>
      <c r="AA22" s="575" t="s">
        <v>1</v>
      </c>
      <c r="AB22" s="575" t="s">
        <v>1</v>
      </c>
      <c r="AC22" s="575">
        <f>SUM(AC15:AC21)</f>
        <v>2433600</v>
      </c>
      <c r="AD22" s="575">
        <f>SUM(AD15:AD21)</f>
        <v>0</v>
      </c>
      <c r="AE22" s="575">
        <f>SUM(AE15:AE21)</f>
        <v>0</v>
      </c>
      <c r="AF22" s="575">
        <f>SUM(AF15:AF21)</f>
        <v>2433600</v>
      </c>
      <c r="AG22" s="575">
        <f>SUM(AG15:AG21)</f>
        <v>7</v>
      </c>
      <c r="AH22" s="575" t="s">
        <v>1</v>
      </c>
      <c r="AI22" s="575" t="s">
        <v>1</v>
      </c>
      <c r="AJ22" s="575">
        <f>SUM(AJ15:AJ21)</f>
        <v>2433600</v>
      </c>
      <c r="AK22" s="575">
        <f>SUM(AK15:AK21)</f>
        <v>0</v>
      </c>
      <c r="AL22" s="575">
        <f>SUM(AL15:AL21)</f>
        <v>0</v>
      </c>
      <c r="AM22" s="571">
        <f t="shared" si="8"/>
        <v>2433600</v>
      </c>
    </row>
    <row r="23" spans="1:39" s="595" customFormat="1" ht="12.75">
      <c r="A23" s="564" t="s">
        <v>4</v>
      </c>
      <c r="B23" s="565" t="s">
        <v>653</v>
      </c>
      <c r="C23" s="565"/>
      <c r="D23" s="566"/>
      <c r="E23" s="566"/>
      <c r="F23" s="566"/>
      <c r="G23" s="567"/>
      <c r="H23" s="566"/>
      <c r="I23" s="566"/>
      <c r="J23" s="567"/>
      <c r="K23" s="567"/>
      <c r="L23" s="567"/>
      <c r="M23" s="567"/>
      <c r="N23" s="567"/>
      <c r="O23" s="566"/>
      <c r="P23" s="566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6"/>
      <c r="AB23" s="566"/>
      <c r="AC23" s="567"/>
      <c r="AD23" s="567"/>
      <c r="AE23" s="567"/>
      <c r="AF23" s="567"/>
      <c r="AG23" s="567"/>
      <c r="AH23" s="566"/>
      <c r="AI23" s="566"/>
      <c r="AJ23" s="567"/>
      <c r="AK23" s="567"/>
      <c r="AL23" s="567"/>
      <c r="AM23" s="567"/>
    </row>
    <row r="24" spans="1:39" s="595" customFormat="1" ht="12.75">
      <c r="A24" s="564"/>
      <c r="B24" s="573" t="s">
        <v>204</v>
      </c>
      <c r="C24" s="573"/>
      <c r="D24" s="570"/>
      <c r="E24" s="570"/>
      <c r="F24" s="570"/>
      <c r="G24" s="570"/>
      <c r="H24" s="570"/>
      <c r="I24" s="570"/>
      <c r="J24" s="570"/>
      <c r="K24" s="570"/>
      <c r="L24" s="570"/>
      <c r="M24" s="571"/>
      <c r="N24" s="572"/>
      <c r="O24" s="572"/>
      <c r="P24" s="572"/>
      <c r="Q24" s="572"/>
      <c r="R24" s="572"/>
      <c r="S24" s="572"/>
      <c r="T24" s="571"/>
      <c r="U24" s="571"/>
      <c r="V24" s="571"/>
      <c r="W24" s="571"/>
      <c r="X24" s="571"/>
      <c r="Y24" s="571"/>
      <c r="Z24" s="570"/>
      <c r="AA24" s="570"/>
      <c r="AB24" s="570"/>
      <c r="AC24" s="570"/>
      <c r="AD24" s="570"/>
      <c r="AE24" s="570"/>
      <c r="AF24" s="571"/>
      <c r="AG24" s="570"/>
      <c r="AH24" s="570"/>
      <c r="AI24" s="570"/>
      <c r="AJ24" s="570"/>
      <c r="AK24" s="570"/>
      <c r="AL24" s="570"/>
      <c r="AM24" s="571"/>
    </row>
    <row r="25" spans="1:39" s="587" customFormat="1" ht="25.5">
      <c r="A25" s="564">
        <v>1</v>
      </c>
      <c r="B25" s="573" t="s">
        <v>654</v>
      </c>
      <c r="C25" s="573" t="s">
        <v>613</v>
      </c>
      <c r="D25" s="570">
        <v>1962</v>
      </c>
      <c r="E25" s="570" t="s">
        <v>655</v>
      </c>
      <c r="F25" s="570" t="s">
        <v>656</v>
      </c>
      <c r="G25" s="570">
        <v>1</v>
      </c>
      <c r="H25" s="570" t="s">
        <v>657</v>
      </c>
      <c r="I25" s="570">
        <v>7.65</v>
      </c>
      <c r="J25" s="570">
        <v>636480</v>
      </c>
      <c r="K25" s="570"/>
      <c r="L25" s="570">
        <v>95472</v>
      </c>
      <c r="M25" s="571">
        <f>J25+K25+L25</f>
        <v>731952</v>
      </c>
      <c r="N25" s="572">
        <v>1</v>
      </c>
      <c r="O25" s="572" t="s">
        <v>658</v>
      </c>
      <c r="P25" s="572">
        <v>7.65</v>
      </c>
      <c r="Q25" s="572">
        <v>636480</v>
      </c>
      <c r="R25" s="572"/>
      <c r="S25" s="572">
        <v>95472</v>
      </c>
      <c r="T25" s="571">
        <f>Q25+R25+S25</f>
        <v>731952</v>
      </c>
      <c r="U25" s="571">
        <f>+G25-N25</f>
        <v>0</v>
      </c>
      <c r="V25" s="571">
        <f>J25-Q25</f>
        <v>0</v>
      </c>
      <c r="W25" s="571">
        <f>K25-R25</f>
        <v>0</v>
      </c>
      <c r="X25" s="571">
        <f>L25-S25</f>
        <v>0</v>
      </c>
      <c r="Y25" s="571">
        <f>V25+W25+X25</f>
        <v>0</v>
      </c>
      <c r="Z25" s="570">
        <v>1</v>
      </c>
      <c r="AA25" s="570" t="s">
        <v>659</v>
      </c>
      <c r="AB25" s="570">
        <v>7.91</v>
      </c>
      <c r="AC25" s="570">
        <v>658112</v>
      </c>
      <c r="AD25" s="570"/>
      <c r="AE25" s="570">
        <v>98716.8</v>
      </c>
      <c r="AF25" s="571">
        <f>AC25+AD25+AE25</f>
        <v>756828.8</v>
      </c>
      <c r="AG25" s="570">
        <v>1</v>
      </c>
      <c r="AH25" s="570" t="s">
        <v>660</v>
      </c>
      <c r="AI25" s="570">
        <v>7.91</v>
      </c>
      <c r="AJ25" s="570">
        <v>658112</v>
      </c>
      <c r="AK25" s="570"/>
      <c r="AL25" s="570">
        <v>98716.8</v>
      </c>
      <c r="AM25" s="571">
        <f>AJ25+AK25+AL25</f>
        <v>756828.8</v>
      </c>
    </row>
    <row r="26" spans="1:39" s="595" customFormat="1" ht="12.75">
      <c r="A26" s="564"/>
      <c r="B26" s="565" t="s">
        <v>120</v>
      </c>
      <c r="C26" s="565"/>
      <c r="D26" s="577" t="s">
        <v>1</v>
      </c>
      <c r="E26" s="577" t="s">
        <v>1</v>
      </c>
      <c r="F26" s="577" t="s">
        <v>1</v>
      </c>
      <c r="G26" s="577">
        <f>SUM(G24:G25)</f>
        <v>1</v>
      </c>
      <c r="H26" s="577" t="s">
        <v>1</v>
      </c>
      <c r="I26" s="577" t="s">
        <v>1</v>
      </c>
      <c r="J26" s="577">
        <f>SUM(J24:J25)</f>
        <v>636480</v>
      </c>
      <c r="K26" s="577">
        <f>SUM(K24:K25)</f>
        <v>0</v>
      </c>
      <c r="L26" s="577">
        <f>SUM(L24:L25)</f>
        <v>95472</v>
      </c>
      <c r="M26" s="577">
        <f>SUM(M24:M25)</f>
        <v>731952</v>
      </c>
      <c r="N26" s="577">
        <f>SUM(N24:N25)</f>
        <v>1</v>
      </c>
      <c r="O26" s="577" t="s">
        <v>1</v>
      </c>
      <c r="P26" s="577" t="s">
        <v>1</v>
      </c>
      <c r="Q26" s="577">
        <f aca="true" t="shared" si="10" ref="Q26:AE26">SUM(Q24:Q25)</f>
        <v>636480</v>
      </c>
      <c r="R26" s="577">
        <f t="shared" si="10"/>
        <v>0</v>
      </c>
      <c r="S26" s="577">
        <f t="shared" si="10"/>
        <v>95472</v>
      </c>
      <c r="T26" s="577">
        <f t="shared" si="10"/>
        <v>731952</v>
      </c>
      <c r="U26" s="577">
        <f t="shared" si="10"/>
        <v>0</v>
      </c>
      <c r="V26" s="577">
        <f t="shared" si="10"/>
        <v>0</v>
      </c>
      <c r="W26" s="577">
        <f t="shared" si="10"/>
        <v>0</v>
      </c>
      <c r="X26" s="577">
        <f t="shared" si="10"/>
        <v>0</v>
      </c>
      <c r="Y26" s="577">
        <f t="shared" si="10"/>
        <v>0</v>
      </c>
      <c r="Z26" s="577">
        <f t="shared" si="10"/>
        <v>1</v>
      </c>
      <c r="AA26" s="577">
        <f t="shared" si="10"/>
        <v>0</v>
      </c>
      <c r="AB26" s="577">
        <f t="shared" si="10"/>
        <v>7.91</v>
      </c>
      <c r="AC26" s="577">
        <f t="shared" si="10"/>
        <v>658112</v>
      </c>
      <c r="AD26" s="577">
        <f t="shared" si="10"/>
        <v>0</v>
      </c>
      <c r="AE26" s="577">
        <f t="shared" si="10"/>
        <v>98716.8</v>
      </c>
      <c r="AF26" s="577">
        <f>SUM(AF24:AF25)</f>
        <v>756828.8</v>
      </c>
      <c r="AG26" s="577">
        <f aca="true" t="shared" si="11" ref="AG26:AL26">SUM(AG24:AG25)</f>
        <v>1</v>
      </c>
      <c r="AH26" s="575" t="s">
        <v>1</v>
      </c>
      <c r="AI26" s="575" t="s">
        <v>1</v>
      </c>
      <c r="AJ26" s="577">
        <f t="shared" si="11"/>
        <v>658112</v>
      </c>
      <c r="AK26" s="577">
        <f t="shared" si="11"/>
        <v>0</v>
      </c>
      <c r="AL26" s="577">
        <f t="shared" si="11"/>
        <v>98716.8</v>
      </c>
      <c r="AM26" s="571">
        <f>AJ26+AK26+AL26</f>
        <v>756828.8</v>
      </c>
    </row>
    <row r="27" spans="1:39" s="595" customFormat="1" ht="12.75">
      <c r="A27" s="568"/>
      <c r="B27" s="569" t="s">
        <v>102</v>
      </c>
      <c r="C27" s="569"/>
      <c r="D27" s="566"/>
      <c r="E27" s="566"/>
      <c r="F27" s="566"/>
      <c r="G27" s="568"/>
      <c r="H27" s="566"/>
      <c r="I27" s="566"/>
      <c r="J27" s="568"/>
      <c r="K27" s="568"/>
      <c r="L27" s="568"/>
      <c r="M27" s="568"/>
      <c r="N27" s="568"/>
      <c r="O27" s="566"/>
      <c r="P27" s="566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6"/>
      <c r="AB27" s="566"/>
      <c r="AC27" s="568"/>
      <c r="AD27" s="568"/>
      <c r="AE27" s="568"/>
      <c r="AF27" s="568"/>
      <c r="AG27" s="568"/>
      <c r="AH27" s="566"/>
      <c r="AI27" s="566"/>
      <c r="AJ27" s="568"/>
      <c r="AK27" s="568"/>
      <c r="AL27" s="568"/>
      <c r="AM27" s="568"/>
    </row>
    <row r="28" spans="1:39" s="597" customFormat="1" ht="25.5">
      <c r="A28" s="570"/>
      <c r="B28" s="573" t="s">
        <v>119</v>
      </c>
      <c r="C28" s="573"/>
      <c r="D28" s="571"/>
      <c r="E28" s="571"/>
      <c r="F28" s="571"/>
      <c r="G28" s="570"/>
      <c r="H28" s="571"/>
      <c r="I28" s="571"/>
      <c r="J28" s="570"/>
      <c r="K28" s="570"/>
      <c r="L28" s="570"/>
      <c r="M28" s="570"/>
      <c r="N28" s="572"/>
      <c r="O28" s="571"/>
      <c r="P28" s="571"/>
      <c r="Q28" s="572"/>
      <c r="R28" s="572"/>
      <c r="S28" s="572"/>
      <c r="T28" s="572"/>
      <c r="U28" s="570"/>
      <c r="V28" s="570"/>
      <c r="W28" s="570"/>
      <c r="X28" s="570"/>
      <c r="Y28" s="570"/>
      <c r="Z28" s="570"/>
      <c r="AA28" s="571"/>
      <c r="AB28" s="571"/>
      <c r="AC28" s="570"/>
      <c r="AD28" s="570"/>
      <c r="AE28" s="570"/>
      <c r="AF28" s="570"/>
      <c r="AG28" s="570"/>
      <c r="AH28" s="571"/>
      <c r="AI28" s="571"/>
      <c r="AJ28" s="570"/>
      <c r="AK28" s="570"/>
      <c r="AL28" s="570"/>
      <c r="AM28" s="570"/>
    </row>
    <row r="29" spans="1:39" s="595" customFormat="1" ht="12.75">
      <c r="A29" s="568"/>
      <c r="B29" s="574" t="s">
        <v>598</v>
      </c>
      <c r="C29" s="569"/>
      <c r="D29" s="566"/>
      <c r="E29" s="566"/>
      <c r="F29" s="566"/>
      <c r="G29" s="568"/>
      <c r="H29" s="566"/>
      <c r="I29" s="566"/>
      <c r="J29" s="568"/>
      <c r="K29" s="568"/>
      <c r="L29" s="568"/>
      <c r="M29" s="568"/>
      <c r="N29" s="568"/>
      <c r="O29" s="566"/>
      <c r="P29" s="566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6"/>
      <c r="AB29" s="566"/>
      <c r="AC29" s="568"/>
      <c r="AD29" s="568"/>
      <c r="AE29" s="568"/>
      <c r="AF29" s="568"/>
      <c r="AG29" s="568"/>
      <c r="AH29" s="566"/>
      <c r="AI29" s="566"/>
      <c r="AJ29" s="568"/>
      <c r="AK29" s="568"/>
      <c r="AL29" s="568"/>
      <c r="AM29" s="568"/>
    </row>
    <row r="30" spans="1:39" s="595" customFormat="1" ht="25.5">
      <c r="A30" s="568">
        <v>1</v>
      </c>
      <c r="B30" s="576" t="s">
        <v>661</v>
      </c>
      <c r="C30" s="573" t="s">
        <v>613</v>
      </c>
      <c r="D30" s="570">
        <v>1988</v>
      </c>
      <c r="E30" s="576" t="s">
        <v>662</v>
      </c>
      <c r="F30" s="570" t="s">
        <v>663</v>
      </c>
      <c r="G30" s="570">
        <v>1</v>
      </c>
      <c r="H30" s="570" t="s">
        <v>664</v>
      </c>
      <c r="I30" s="570">
        <v>4.27</v>
      </c>
      <c r="J30" s="570">
        <v>355263.99999999994</v>
      </c>
      <c r="K30" s="570"/>
      <c r="L30" s="570"/>
      <c r="M30" s="571">
        <f aca="true" t="shared" si="12" ref="M30:M35">J30+K30+L30</f>
        <v>355263.99999999994</v>
      </c>
      <c r="N30" s="572">
        <v>1</v>
      </c>
      <c r="O30" s="572" t="s">
        <v>665</v>
      </c>
      <c r="P30" s="578">
        <v>4.14</v>
      </c>
      <c r="Q30" s="572">
        <v>344448</v>
      </c>
      <c r="R30" s="572">
        <v>0</v>
      </c>
      <c r="S30" s="572">
        <v>0</v>
      </c>
      <c r="T30" s="566">
        <v>344448</v>
      </c>
      <c r="U30" s="566">
        <f aca="true" t="shared" si="13" ref="U30:U40">+G30-N30</f>
        <v>0</v>
      </c>
      <c r="V30" s="566">
        <f aca="true" t="shared" si="14" ref="V30:X40">J30-Q30</f>
        <v>10815.999999999942</v>
      </c>
      <c r="W30" s="566">
        <f t="shared" si="14"/>
        <v>0</v>
      </c>
      <c r="X30" s="566">
        <f t="shared" si="14"/>
        <v>0</v>
      </c>
      <c r="Y30" s="566">
        <f aca="true" t="shared" si="15" ref="Y30:Y40">V30+W30+X30</f>
        <v>10815.999999999942</v>
      </c>
      <c r="Z30" s="568"/>
      <c r="AA30" s="572" t="s">
        <v>666</v>
      </c>
      <c r="AB30" s="568">
        <v>4.27</v>
      </c>
      <c r="AC30" s="568">
        <v>344448</v>
      </c>
      <c r="AD30" s="568"/>
      <c r="AE30" s="568"/>
      <c r="AF30" s="566">
        <f aca="true" t="shared" si="16" ref="AF30:AF40">AC30+AD30+AE30</f>
        <v>344448</v>
      </c>
      <c r="AG30" s="568"/>
      <c r="AH30" s="572" t="s">
        <v>667</v>
      </c>
      <c r="AI30" s="568">
        <v>4.41</v>
      </c>
      <c r="AJ30" s="568">
        <v>366912</v>
      </c>
      <c r="AK30" s="568"/>
      <c r="AL30" s="568"/>
      <c r="AM30" s="566">
        <f aca="true" t="shared" si="17" ref="AM30:AM41">AJ30+AK30+AL30</f>
        <v>366912</v>
      </c>
    </row>
    <row r="31" spans="1:39" s="587" customFormat="1" ht="25.5">
      <c r="A31" s="568">
        <v>2</v>
      </c>
      <c r="B31" s="576" t="s">
        <v>668</v>
      </c>
      <c r="C31" s="573" t="s">
        <v>613</v>
      </c>
      <c r="D31" s="570">
        <v>1962</v>
      </c>
      <c r="E31" s="570" t="s">
        <v>669</v>
      </c>
      <c r="F31" s="570" t="s">
        <v>670</v>
      </c>
      <c r="G31" s="570">
        <v>1</v>
      </c>
      <c r="H31" s="570" t="s">
        <v>671</v>
      </c>
      <c r="I31" s="570">
        <v>4.4</v>
      </c>
      <c r="J31" s="570">
        <v>366080</v>
      </c>
      <c r="K31" s="570"/>
      <c r="L31" s="570"/>
      <c r="M31" s="571">
        <f t="shared" si="12"/>
        <v>366080</v>
      </c>
      <c r="N31" s="572">
        <v>1</v>
      </c>
      <c r="O31" s="572" t="s">
        <v>672</v>
      </c>
      <c r="P31" s="578">
        <v>4.4</v>
      </c>
      <c r="Q31" s="572">
        <v>366080</v>
      </c>
      <c r="R31" s="572">
        <v>0</v>
      </c>
      <c r="S31" s="572">
        <v>0</v>
      </c>
      <c r="T31" s="566">
        <f aca="true" t="shared" si="18" ref="T31:T40">Q31+R31+S31</f>
        <v>366080</v>
      </c>
      <c r="U31" s="566">
        <f t="shared" si="13"/>
        <v>0</v>
      </c>
      <c r="V31" s="566">
        <f t="shared" si="14"/>
        <v>0</v>
      </c>
      <c r="W31" s="566">
        <f t="shared" si="14"/>
        <v>0</v>
      </c>
      <c r="X31" s="566">
        <f t="shared" si="14"/>
        <v>0</v>
      </c>
      <c r="Y31" s="566">
        <f t="shared" si="15"/>
        <v>0</v>
      </c>
      <c r="Z31" s="568"/>
      <c r="AA31" s="568" t="s">
        <v>673</v>
      </c>
      <c r="AB31" s="568">
        <v>4.4</v>
      </c>
      <c r="AC31" s="568">
        <v>366080</v>
      </c>
      <c r="AD31" s="568"/>
      <c r="AE31" s="568"/>
      <c r="AF31" s="566">
        <f t="shared" si="16"/>
        <v>366080</v>
      </c>
      <c r="AG31" s="568"/>
      <c r="AH31" s="568" t="s">
        <v>674</v>
      </c>
      <c r="AI31" s="568">
        <v>4.4</v>
      </c>
      <c r="AJ31" s="568">
        <v>366080</v>
      </c>
      <c r="AK31" s="568"/>
      <c r="AL31" s="568"/>
      <c r="AM31" s="566">
        <f t="shared" si="17"/>
        <v>366080</v>
      </c>
    </row>
    <row r="32" spans="1:39" s="595" customFormat="1" ht="25.5">
      <c r="A32" s="568">
        <v>3</v>
      </c>
      <c r="B32" s="576" t="s">
        <v>675</v>
      </c>
      <c r="C32" s="573" t="s">
        <v>639</v>
      </c>
      <c r="D32" s="570">
        <v>1992</v>
      </c>
      <c r="E32" s="570" t="s">
        <v>669</v>
      </c>
      <c r="F32" s="570" t="s">
        <v>676</v>
      </c>
      <c r="G32" s="570">
        <v>1</v>
      </c>
      <c r="H32" s="570" t="s">
        <v>677</v>
      </c>
      <c r="I32" s="570">
        <v>3.53</v>
      </c>
      <c r="J32" s="570">
        <v>293696</v>
      </c>
      <c r="K32" s="570"/>
      <c r="L32" s="570"/>
      <c r="M32" s="571">
        <f t="shared" si="12"/>
        <v>293696</v>
      </c>
      <c r="N32" s="572">
        <v>1</v>
      </c>
      <c r="O32" s="572" t="s">
        <v>678</v>
      </c>
      <c r="P32" s="578">
        <v>3.42</v>
      </c>
      <c r="Q32" s="572">
        <v>284544</v>
      </c>
      <c r="R32" s="572">
        <v>0</v>
      </c>
      <c r="S32" s="572">
        <v>0</v>
      </c>
      <c r="T32" s="566">
        <f t="shared" si="18"/>
        <v>284544</v>
      </c>
      <c r="U32" s="566">
        <f t="shared" si="13"/>
        <v>0</v>
      </c>
      <c r="V32" s="566">
        <f t="shared" si="14"/>
        <v>9152</v>
      </c>
      <c r="W32" s="566">
        <f t="shared" si="14"/>
        <v>0</v>
      </c>
      <c r="X32" s="566">
        <f t="shared" si="14"/>
        <v>0</v>
      </c>
      <c r="Y32" s="566">
        <f t="shared" si="15"/>
        <v>9152</v>
      </c>
      <c r="Z32" s="568"/>
      <c r="AA32" s="568" t="s">
        <v>679</v>
      </c>
      <c r="AB32" s="568">
        <v>3.53</v>
      </c>
      <c r="AC32" s="568">
        <v>293696</v>
      </c>
      <c r="AD32" s="568"/>
      <c r="AE32" s="568"/>
      <c r="AF32" s="566">
        <f t="shared" si="16"/>
        <v>293696</v>
      </c>
      <c r="AG32" s="568"/>
      <c r="AH32" s="568" t="s">
        <v>680</v>
      </c>
      <c r="AI32" s="568">
        <v>3.64</v>
      </c>
      <c r="AJ32" s="568">
        <v>302848</v>
      </c>
      <c r="AK32" s="568"/>
      <c r="AL32" s="568"/>
      <c r="AM32" s="566">
        <f t="shared" si="17"/>
        <v>302848</v>
      </c>
    </row>
    <row r="33" spans="1:39" s="587" customFormat="1" ht="25.5">
      <c r="A33" s="568">
        <v>4</v>
      </c>
      <c r="B33" s="576" t="s">
        <v>681</v>
      </c>
      <c r="C33" s="573" t="s">
        <v>613</v>
      </c>
      <c r="D33" s="570">
        <v>1990</v>
      </c>
      <c r="E33" s="570" t="s">
        <v>669</v>
      </c>
      <c r="F33" s="570" t="s">
        <v>682</v>
      </c>
      <c r="G33" s="570">
        <v>1</v>
      </c>
      <c r="H33" s="570" t="s">
        <v>683</v>
      </c>
      <c r="I33" s="570">
        <v>3.42</v>
      </c>
      <c r="J33" s="570">
        <v>284544</v>
      </c>
      <c r="K33" s="570"/>
      <c r="L33" s="570"/>
      <c r="M33" s="571">
        <f t="shared" si="12"/>
        <v>284544</v>
      </c>
      <c r="N33" s="572">
        <v>1</v>
      </c>
      <c r="O33" s="572" t="s">
        <v>684</v>
      </c>
      <c r="P33" s="578">
        <v>3.31</v>
      </c>
      <c r="Q33" s="572">
        <v>275392</v>
      </c>
      <c r="R33" s="572">
        <v>0</v>
      </c>
      <c r="S33" s="572">
        <v>0</v>
      </c>
      <c r="T33" s="566">
        <f t="shared" si="18"/>
        <v>275392</v>
      </c>
      <c r="U33" s="566">
        <f t="shared" si="13"/>
        <v>0</v>
      </c>
      <c r="V33" s="566">
        <f t="shared" si="14"/>
        <v>9152</v>
      </c>
      <c r="W33" s="566">
        <f t="shared" si="14"/>
        <v>0</v>
      </c>
      <c r="X33" s="566">
        <f t="shared" si="14"/>
        <v>0</v>
      </c>
      <c r="Y33" s="566">
        <f t="shared" si="15"/>
        <v>9152</v>
      </c>
      <c r="Z33" s="568"/>
      <c r="AA33" s="568" t="s">
        <v>685</v>
      </c>
      <c r="AB33" s="568">
        <v>3.53</v>
      </c>
      <c r="AC33" s="568">
        <v>293696</v>
      </c>
      <c r="AD33" s="568"/>
      <c r="AE33" s="568"/>
      <c r="AF33" s="566">
        <f t="shared" si="16"/>
        <v>293696</v>
      </c>
      <c r="AG33" s="568"/>
      <c r="AH33" s="568" t="s">
        <v>686</v>
      </c>
      <c r="AI33" s="568">
        <v>3.53</v>
      </c>
      <c r="AJ33" s="568">
        <v>293696</v>
      </c>
      <c r="AK33" s="568"/>
      <c r="AL33" s="568"/>
      <c r="AM33" s="566">
        <f t="shared" si="17"/>
        <v>293696</v>
      </c>
    </row>
    <row r="34" spans="1:39" s="595" customFormat="1" ht="25.5">
      <c r="A34" s="568">
        <v>5</v>
      </c>
      <c r="B34" s="576" t="s">
        <v>687</v>
      </c>
      <c r="C34" s="573" t="s">
        <v>613</v>
      </c>
      <c r="D34" s="570">
        <v>1961</v>
      </c>
      <c r="E34" s="576" t="s">
        <v>669</v>
      </c>
      <c r="F34" s="570" t="s">
        <v>688</v>
      </c>
      <c r="G34" s="570">
        <v>1</v>
      </c>
      <c r="H34" s="570" t="s">
        <v>672</v>
      </c>
      <c r="I34" s="578">
        <v>3.88</v>
      </c>
      <c r="J34" s="572">
        <v>322816</v>
      </c>
      <c r="K34" s="570"/>
      <c r="L34" s="570"/>
      <c r="M34" s="571">
        <f t="shared" si="12"/>
        <v>322816</v>
      </c>
      <c r="N34" s="572">
        <v>1</v>
      </c>
      <c r="O34" s="572" t="s">
        <v>689</v>
      </c>
      <c r="P34" s="578">
        <v>3.88</v>
      </c>
      <c r="Q34" s="572">
        <v>322816</v>
      </c>
      <c r="R34" s="572">
        <v>0</v>
      </c>
      <c r="S34" s="572">
        <v>0</v>
      </c>
      <c r="T34" s="566">
        <f t="shared" si="18"/>
        <v>322816</v>
      </c>
      <c r="U34" s="566">
        <f t="shared" si="13"/>
        <v>0</v>
      </c>
      <c r="V34" s="566">
        <f t="shared" si="14"/>
        <v>0</v>
      </c>
      <c r="W34" s="566">
        <f t="shared" si="14"/>
        <v>0</v>
      </c>
      <c r="X34" s="566">
        <f t="shared" si="14"/>
        <v>0</v>
      </c>
      <c r="Y34" s="566">
        <f t="shared" si="15"/>
        <v>0</v>
      </c>
      <c r="Z34" s="568"/>
      <c r="AA34" s="568" t="s">
        <v>671</v>
      </c>
      <c r="AB34" s="578">
        <v>3.88</v>
      </c>
      <c r="AC34" s="572">
        <v>322816</v>
      </c>
      <c r="AD34" s="568"/>
      <c r="AE34" s="568"/>
      <c r="AF34" s="566">
        <f t="shared" si="16"/>
        <v>322816</v>
      </c>
      <c r="AG34" s="568"/>
      <c r="AH34" s="568" t="s">
        <v>673</v>
      </c>
      <c r="AI34" s="568">
        <v>4.01</v>
      </c>
      <c r="AJ34" s="568">
        <v>333632</v>
      </c>
      <c r="AK34" s="568"/>
      <c r="AL34" s="568"/>
      <c r="AM34" s="566">
        <f t="shared" si="17"/>
        <v>333632</v>
      </c>
    </row>
    <row r="35" spans="1:39" s="595" customFormat="1" ht="25.5">
      <c r="A35" s="568">
        <v>6</v>
      </c>
      <c r="B35" s="576" t="s">
        <v>690</v>
      </c>
      <c r="C35" s="573" t="s">
        <v>613</v>
      </c>
      <c r="D35" s="570">
        <v>1961</v>
      </c>
      <c r="E35" s="570" t="s">
        <v>669</v>
      </c>
      <c r="F35" s="570" t="s">
        <v>691</v>
      </c>
      <c r="G35" s="570">
        <v>1</v>
      </c>
      <c r="H35" s="570" t="s">
        <v>677</v>
      </c>
      <c r="I35" s="570">
        <v>3.53</v>
      </c>
      <c r="J35" s="570">
        <v>293696</v>
      </c>
      <c r="K35" s="570"/>
      <c r="L35" s="570"/>
      <c r="M35" s="571">
        <f t="shared" si="12"/>
        <v>293696</v>
      </c>
      <c r="N35" s="572">
        <v>1</v>
      </c>
      <c r="O35" s="572" t="s">
        <v>678</v>
      </c>
      <c r="P35" s="578">
        <v>3.42</v>
      </c>
      <c r="Q35" s="572">
        <v>284544</v>
      </c>
      <c r="R35" s="572">
        <v>0</v>
      </c>
      <c r="S35" s="572">
        <v>0</v>
      </c>
      <c r="T35" s="566">
        <f t="shared" si="18"/>
        <v>284544</v>
      </c>
      <c r="U35" s="566">
        <f t="shared" si="13"/>
        <v>0</v>
      </c>
      <c r="V35" s="566">
        <f t="shared" si="14"/>
        <v>9152</v>
      </c>
      <c r="W35" s="566">
        <f t="shared" si="14"/>
        <v>0</v>
      </c>
      <c r="X35" s="566">
        <f t="shared" si="14"/>
        <v>0</v>
      </c>
      <c r="Y35" s="566">
        <f t="shared" si="15"/>
        <v>9152</v>
      </c>
      <c r="Z35" s="568"/>
      <c r="AA35" s="568" t="s">
        <v>679</v>
      </c>
      <c r="AB35" s="568">
        <v>3.53</v>
      </c>
      <c r="AC35" s="568">
        <v>293696</v>
      </c>
      <c r="AD35" s="568"/>
      <c r="AE35" s="568"/>
      <c r="AF35" s="566">
        <f t="shared" si="16"/>
        <v>293696</v>
      </c>
      <c r="AG35" s="568"/>
      <c r="AH35" s="568" t="s">
        <v>680</v>
      </c>
      <c r="AI35" s="568">
        <v>3.64</v>
      </c>
      <c r="AJ35" s="568">
        <v>302848</v>
      </c>
      <c r="AK35" s="568"/>
      <c r="AL35" s="568"/>
      <c r="AM35" s="566">
        <f t="shared" si="17"/>
        <v>302848</v>
      </c>
    </row>
    <row r="36" spans="1:39" s="595" customFormat="1" ht="25.5">
      <c r="A36" s="568">
        <v>7</v>
      </c>
      <c r="B36" s="576" t="s">
        <v>692</v>
      </c>
      <c r="C36" s="573" t="s">
        <v>639</v>
      </c>
      <c r="D36" s="570">
        <v>1993</v>
      </c>
      <c r="E36" s="570" t="s">
        <v>669</v>
      </c>
      <c r="F36" s="570" t="s">
        <v>693</v>
      </c>
      <c r="G36" s="570">
        <v>1</v>
      </c>
      <c r="H36" s="570" t="s">
        <v>642</v>
      </c>
      <c r="I36" s="570">
        <v>3.31</v>
      </c>
      <c r="J36" s="570">
        <v>275392</v>
      </c>
      <c r="K36" s="570"/>
      <c r="L36" s="570"/>
      <c r="M36" s="571">
        <f>J36+K36+L36</f>
        <v>275392</v>
      </c>
      <c r="N36" s="572">
        <v>1</v>
      </c>
      <c r="O36" s="572" t="s">
        <v>643</v>
      </c>
      <c r="P36" s="578">
        <v>3.21</v>
      </c>
      <c r="Q36" s="572">
        <v>267072</v>
      </c>
      <c r="R36" s="572">
        <v>0</v>
      </c>
      <c r="S36" s="572">
        <v>0</v>
      </c>
      <c r="T36" s="566">
        <f t="shared" si="18"/>
        <v>267072</v>
      </c>
      <c r="U36" s="566">
        <f t="shared" si="13"/>
        <v>0</v>
      </c>
      <c r="V36" s="566">
        <f t="shared" si="14"/>
        <v>8320</v>
      </c>
      <c r="W36" s="566">
        <f t="shared" si="14"/>
        <v>0</v>
      </c>
      <c r="X36" s="566">
        <f t="shared" si="14"/>
        <v>0</v>
      </c>
      <c r="Y36" s="566">
        <f t="shared" si="15"/>
        <v>8320</v>
      </c>
      <c r="Z36" s="568"/>
      <c r="AA36" s="568" t="s">
        <v>644</v>
      </c>
      <c r="AB36" s="568">
        <v>3.42</v>
      </c>
      <c r="AC36" s="568">
        <v>284544</v>
      </c>
      <c r="AD36" s="568"/>
      <c r="AE36" s="568"/>
      <c r="AF36" s="566">
        <f t="shared" si="16"/>
        <v>284544</v>
      </c>
      <c r="AG36" s="568"/>
      <c r="AH36" s="568" t="s">
        <v>645</v>
      </c>
      <c r="AI36" s="568">
        <v>3.53</v>
      </c>
      <c r="AJ36" s="568">
        <v>293696</v>
      </c>
      <c r="AK36" s="568"/>
      <c r="AL36" s="568"/>
      <c r="AM36" s="566">
        <f t="shared" si="17"/>
        <v>293696</v>
      </c>
    </row>
    <row r="37" spans="1:39" s="595" customFormat="1" ht="25.5">
      <c r="A37" s="568">
        <v>8</v>
      </c>
      <c r="B37" s="576" t="s">
        <v>694</v>
      </c>
      <c r="C37" s="569"/>
      <c r="D37" s="568"/>
      <c r="E37" s="576" t="s">
        <v>695</v>
      </c>
      <c r="F37" s="570" t="s">
        <v>696</v>
      </c>
      <c r="G37" s="570">
        <v>1</v>
      </c>
      <c r="H37" s="568"/>
      <c r="I37" s="568"/>
      <c r="J37" s="568">
        <v>221312</v>
      </c>
      <c r="K37" s="568"/>
      <c r="L37" s="568"/>
      <c r="M37" s="566">
        <f>J37+K37+L37</f>
        <v>221312</v>
      </c>
      <c r="N37" s="572">
        <v>1</v>
      </c>
      <c r="O37" s="568"/>
      <c r="P37" s="578">
        <v>2.66</v>
      </c>
      <c r="Q37" s="568">
        <v>221312</v>
      </c>
      <c r="R37" s="568">
        <v>0</v>
      </c>
      <c r="S37" s="568">
        <v>0</v>
      </c>
      <c r="T37" s="566">
        <f t="shared" si="18"/>
        <v>221312</v>
      </c>
      <c r="U37" s="566">
        <f t="shared" si="13"/>
        <v>0</v>
      </c>
      <c r="V37" s="566">
        <f t="shared" si="14"/>
        <v>0</v>
      </c>
      <c r="W37" s="566">
        <f t="shared" si="14"/>
        <v>0</v>
      </c>
      <c r="X37" s="566">
        <f t="shared" si="14"/>
        <v>0</v>
      </c>
      <c r="Y37" s="566">
        <f t="shared" si="15"/>
        <v>0</v>
      </c>
      <c r="Z37" s="568"/>
      <c r="AA37" s="568"/>
      <c r="AB37" s="568"/>
      <c r="AC37" s="568">
        <v>221312</v>
      </c>
      <c r="AD37" s="568"/>
      <c r="AE37" s="568"/>
      <c r="AF37" s="566">
        <f t="shared" si="16"/>
        <v>221312</v>
      </c>
      <c r="AG37" s="568"/>
      <c r="AH37" s="568"/>
      <c r="AI37" s="568"/>
      <c r="AJ37" s="568">
        <v>221312</v>
      </c>
      <c r="AK37" s="568"/>
      <c r="AL37" s="568"/>
      <c r="AM37" s="566">
        <f t="shared" si="17"/>
        <v>221312</v>
      </c>
    </row>
    <row r="38" spans="1:39" s="595" customFormat="1" ht="25.5">
      <c r="A38" s="568">
        <v>9</v>
      </c>
      <c r="B38" s="576" t="s">
        <v>697</v>
      </c>
      <c r="C38" s="573" t="s">
        <v>613</v>
      </c>
      <c r="D38" s="570">
        <v>1961</v>
      </c>
      <c r="E38" s="576" t="s">
        <v>698</v>
      </c>
      <c r="F38" s="570" t="s">
        <v>699</v>
      </c>
      <c r="G38" s="570">
        <v>1</v>
      </c>
      <c r="H38" s="570" t="s">
        <v>700</v>
      </c>
      <c r="I38" s="578">
        <v>4.4</v>
      </c>
      <c r="J38" s="572">
        <v>366080</v>
      </c>
      <c r="K38" s="570"/>
      <c r="L38" s="570"/>
      <c r="M38" s="571">
        <f>J38+K38+L38</f>
        <v>366080</v>
      </c>
      <c r="N38" s="572">
        <v>1</v>
      </c>
      <c r="O38" s="572" t="s">
        <v>701</v>
      </c>
      <c r="P38" s="578">
        <v>4.4</v>
      </c>
      <c r="Q38" s="572">
        <v>366080</v>
      </c>
      <c r="R38" s="572">
        <v>0</v>
      </c>
      <c r="S38" s="572">
        <v>0</v>
      </c>
      <c r="T38" s="566">
        <f t="shared" si="18"/>
        <v>366080</v>
      </c>
      <c r="U38" s="566">
        <f t="shared" si="13"/>
        <v>0</v>
      </c>
      <c r="V38" s="566">
        <f t="shared" si="14"/>
        <v>0</v>
      </c>
      <c r="W38" s="566">
        <f t="shared" si="14"/>
        <v>0</v>
      </c>
      <c r="X38" s="566">
        <f t="shared" si="14"/>
        <v>0</v>
      </c>
      <c r="Y38" s="566">
        <f t="shared" si="15"/>
        <v>0</v>
      </c>
      <c r="Z38" s="568"/>
      <c r="AA38" s="568" t="s">
        <v>702</v>
      </c>
      <c r="AB38" s="578">
        <v>4.4</v>
      </c>
      <c r="AC38" s="572">
        <v>366080</v>
      </c>
      <c r="AD38" s="568"/>
      <c r="AE38" s="568"/>
      <c r="AF38" s="566">
        <f t="shared" si="16"/>
        <v>366080</v>
      </c>
      <c r="AG38" s="568"/>
      <c r="AH38" s="568" t="s">
        <v>703</v>
      </c>
      <c r="AI38" s="578">
        <v>4.4</v>
      </c>
      <c r="AJ38" s="572">
        <v>366080</v>
      </c>
      <c r="AK38" s="568"/>
      <c r="AL38" s="568"/>
      <c r="AM38" s="566">
        <f t="shared" si="17"/>
        <v>366080</v>
      </c>
    </row>
    <row r="39" spans="1:39" s="595" customFormat="1" ht="51">
      <c r="A39" s="568">
        <v>10</v>
      </c>
      <c r="B39" s="576" t="s">
        <v>704</v>
      </c>
      <c r="C39" s="573" t="s">
        <v>613</v>
      </c>
      <c r="D39" s="570">
        <v>1990</v>
      </c>
      <c r="E39" s="576" t="s">
        <v>705</v>
      </c>
      <c r="F39" s="570" t="s">
        <v>706</v>
      </c>
      <c r="G39" s="570">
        <v>1</v>
      </c>
      <c r="H39" s="570" t="s">
        <v>626</v>
      </c>
      <c r="I39" s="570">
        <v>3.53</v>
      </c>
      <c r="J39" s="570">
        <v>293696</v>
      </c>
      <c r="K39" s="570"/>
      <c r="L39" s="570"/>
      <c r="M39" s="571">
        <f>J39+K39+L39</f>
        <v>293696</v>
      </c>
      <c r="N39" s="572">
        <v>1</v>
      </c>
      <c r="O39" s="572" t="s">
        <v>627</v>
      </c>
      <c r="P39" s="578">
        <v>3.42</v>
      </c>
      <c r="Q39" s="572">
        <v>284544</v>
      </c>
      <c r="R39" s="572">
        <v>0</v>
      </c>
      <c r="S39" s="572">
        <v>0</v>
      </c>
      <c r="T39" s="566">
        <f t="shared" si="18"/>
        <v>284544</v>
      </c>
      <c r="U39" s="566">
        <f t="shared" si="13"/>
        <v>0</v>
      </c>
      <c r="V39" s="566">
        <f t="shared" si="14"/>
        <v>9152</v>
      </c>
      <c r="W39" s="566">
        <f t="shared" si="14"/>
        <v>0</v>
      </c>
      <c r="X39" s="566">
        <f t="shared" si="14"/>
        <v>0</v>
      </c>
      <c r="Y39" s="566">
        <f t="shared" si="15"/>
        <v>9152</v>
      </c>
      <c r="Z39" s="568"/>
      <c r="AA39" s="568" t="s">
        <v>628</v>
      </c>
      <c r="AB39" s="568">
        <v>3.53</v>
      </c>
      <c r="AC39" s="568">
        <v>293696</v>
      </c>
      <c r="AD39" s="568"/>
      <c r="AE39" s="568"/>
      <c r="AF39" s="566">
        <f t="shared" si="16"/>
        <v>293696</v>
      </c>
      <c r="AG39" s="568"/>
      <c r="AH39" s="568" t="s">
        <v>629</v>
      </c>
      <c r="AI39" s="568">
        <v>3.64</v>
      </c>
      <c r="AJ39" s="568">
        <v>302848</v>
      </c>
      <c r="AK39" s="568"/>
      <c r="AL39" s="568"/>
      <c r="AM39" s="566">
        <f t="shared" si="17"/>
        <v>302848</v>
      </c>
    </row>
    <row r="40" spans="1:39" s="595" customFormat="1" ht="38.25">
      <c r="A40" s="568">
        <v>11</v>
      </c>
      <c r="B40" s="576" t="s">
        <v>707</v>
      </c>
      <c r="C40" s="573" t="s">
        <v>639</v>
      </c>
      <c r="D40" s="570">
        <v>1959</v>
      </c>
      <c r="E40" s="570" t="s">
        <v>708</v>
      </c>
      <c r="F40" s="570" t="s">
        <v>709</v>
      </c>
      <c r="G40" s="570">
        <v>1</v>
      </c>
      <c r="H40" s="570" t="s">
        <v>710</v>
      </c>
      <c r="I40" s="578">
        <v>1.95</v>
      </c>
      <c r="J40" s="572">
        <v>162240</v>
      </c>
      <c r="K40" s="570"/>
      <c r="L40" s="570"/>
      <c r="M40" s="571">
        <f>J40+K40+L40</f>
        <v>162240</v>
      </c>
      <c r="N40" s="572">
        <v>1</v>
      </c>
      <c r="O40" s="572" t="s">
        <v>711</v>
      </c>
      <c r="P40" s="578">
        <v>1.95</v>
      </c>
      <c r="Q40" s="572">
        <v>162240</v>
      </c>
      <c r="R40" s="572">
        <v>0</v>
      </c>
      <c r="S40" s="572">
        <v>0</v>
      </c>
      <c r="T40" s="566">
        <f t="shared" si="18"/>
        <v>162240</v>
      </c>
      <c r="U40" s="566">
        <f t="shared" si="13"/>
        <v>0</v>
      </c>
      <c r="V40" s="566">
        <f t="shared" si="14"/>
        <v>0</v>
      </c>
      <c r="W40" s="566">
        <f t="shared" si="14"/>
        <v>0</v>
      </c>
      <c r="X40" s="566">
        <f t="shared" si="14"/>
        <v>0</v>
      </c>
      <c r="Y40" s="566">
        <f t="shared" si="15"/>
        <v>0</v>
      </c>
      <c r="Z40" s="568"/>
      <c r="AA40" s="568" t="s">
        <v>712</v>
      </c>
      <c r="AB40" s="578">
        <v>1.95</v>
      </c>
      <c r="AC40" s="572">
        <v>162240</v>
      </c>
      <c r="AD40" s="568"/>
      <c r="AE40" s="568"/>
      <c r="AF40" s="566">
        <f t="shared" si="16"/>
        <v>162240</v>
      </c>
      <c r="AG40" s="568"/>
      <c r="AH40" s="568" t="s">
        <v>713</v>
      </c>
      <c r="AI40" s="578">
        <v>1.95</v>
      </c>
      <c r="AJ40" s="572">
        <v>162240</v>
      </c>
      <c r="AK40" s="568"/>
      <c r="AL40" s="568"/>
      <c r="AM40" s="566">
        <f t="shared" si="17"/>
        <v>162240</v>
      </c>
    </row>
    <row r="41" spans="1:39" s="596" customFormat="1" ht="12.75">
      <c r="A41" s="564"/>
      <c r="B41" s="565" t="s">
        <v>120</v>
      </c>
      <c r="C41" s="565"/>
      <c r="D41" s="575" t="s">
        <v>1</v>
      </c>
      <c r="E41" s="575" t="s">
        <v>1</v>
      </c>
      <c r="F41" s="575" t="s">
        <v>1</v>
      </c>
      <c r="G41" s="575">
        <f>SUM(G30:G40)</f>
        <v>11</v>
      </c>
      <c r="H41" s="575" t="s">
        <v>1</v>
      </c>
      <c r="I41" s="575" t="s">
        <v>1</v>
      </c>
      <c r="J41" s="575">
        <f>SUM(J30:J40)</f>
        <v>3234816</v>
      </c>
      <c r="K41" s="575">
        <f>SUM(K30:K40)</f>
        <v>0</v>
      </c>
      <c r="L41" s="575">
        <f>SUM(L30:L40)</f>
        <v>0</v>
      </c>
      <c r="M41" s="575">
        <f>SUM(M30:M40)</f>
        <v>3234816</v>
      </c>
      <c r="N41" s="575">
        <f>SUM(N30:N40)</f>
        <v>11</v>
      </c>
      <c r="O41" s="575" t="s">
        <v>1</v>
      </c>
      <c r="P41" s="575" t="s">
        <v>1</v>
      </c>
      <c r="Q41" s="575">
        <f>SUM(Q30:Q40)</f>
        <v>3179072</v>
      </c>
      <c r="R41" s="575">
        <f aca="true" t="shared" si="19" ref="R41:Z41">SUM(R30:R40)</f>
        <v>0</v>
      </c>
      <c r="S41" s="575">
        <f t="shared" si="19"/>
        <v>0</v>
      </c>
      <c r="T41" s="575">
        <f t="shared" si="19"/>
        <v>3179072</v>
      </c>
      <c r="U41" s="575">
        <f t="shared" si="19"/>
        <v>0</v>
      </c>
      <c r="V41" s="575">
        <f t="shared" si="19"/>
        <v>55743.99999999994</v>
      </c>
      <c r="W41" s="575">
        <f t="shared" si="19"/>
        <v>0</v>
      </c>
      <c r="X41" s="575">
        <f t="shared" si="19"/>
        <v>0</v>
      </c>
      <c r="Y41" s="575">
        <f t="shared" si="19"/>
        <v>55743.99999999994</v>
      </c>
      <c r="Z41" s="575">
        <f t="shared" si="19"/>
        <v>0</v>
      </c>
      <c r="AA41" s="575" t="s">
        <v>1</v>
      </c>
      <c r="AB41" s="575" t="s">
        <v>1</v>
      </c>
      <c r="AC41" s="575">
        <f>SUM(AC30:AC40)</f>
        <v>3242304</v>
      </c>
      <c r="AD41" s="575">
        <f>SUM(AD30:AD40)</f>
        <v>0</v>
      </c>
      <c r="AE41" s="575">
        <f>SUM(AE30:AE40)</f>
        <v>0</v>
      </c>
      <c r="AF41" s="575">
        <f>SUM(AF30:AF40)</f>
        <v>3242304</v>
      </c>
      <c r="AG41" s="575">
        <f>SUM(AG30:AG40)</f>
        <v>0</v>
      </c>
      <c r="AH41" s="575" t="s">
        <v>1</v>
      </c>
      <c r="AI41" s="575" t="s">
        <v>1</v>
      </c>
      <c r="AJ41" s="575">
        <f>SUM(AJ30:AJ40)</f>
        <v>3312192</v>
      </c>
      <c r="AK41" s="575">
        <f>SUM(AK30:AK40)</f>
        <v>0</v>
      </c>
      <c r="AL41" s="575">
        <f>SUM(AL30:AL40)</f>
        <v>0</v>
      </c>
      <c r="AM41" s="566">
        <f t="shared" si="17"/>
        <v>3312192</v>
      </c>
    </row>
    <row r="42" spans="1:39" s="595" customFormat="1" ht="12.75">
      <c r="A42" s="568"/>
      <c r="B42" s="574" t="s">
        <v>714</v>
      </c>
      <c r="C42" s="569"/>
      <c r="D42" s="566"/>
      <c r="E42" s="566"/>
      <c r="F42" s="566"/>
      <c r="G42" s="568"/>
      <c r="H42" s="566"/>
      <c r="I42" s="566"/>
      <c r="J42" s="568"/>
      <c r="K42" s="568"/>
      <c r="L42" s="568"/>
      <c r="M42" s="568"/>
      <c r="N42" s="568"/>
      <c r="O42" s="566"/>
      <c r="P42" s="566"/>
      <c r="Q42" s="579"/>
      <c r="R42" s="568"/>
      <c r="S42" s="568"/>
      <c r="T42" s="568"/>
      <c r="U42" s="568"/>
      <c r="V42" s="568"/>
      <c r="W42" s="568"/>
      <c r="X42" s="568"/>
      <c r="Y42" s="568"/>
      <c r="Z42" s="568"/>
      <c r="AA42" s="566"/>
      <c r="AB42" s="566"/>
      <c r="AC42" s="568"/>
      <c r="AD42" s="568"/>
      <c r="AE42" s="568"/>
      <c r="AF42" s="568"/>
      <c r="AG42" s="568"/>
      <c r="AH42" s="566"/>
      <c r="AI42" s="566"/>
      <c r="AJ42" s="568"/>
      <c r="AK42" s="568"/>
      <c r="AL42" s="568"/>
      <c r="AM42" s="568"/>
    </row>
    <row r="43" spans="1:39" s="595" customFormat="1" ht="25.5">
      <c r="A43" s="568">
        <v>1</v>
      </c>
      <c r="B43" s="570" t="s">
        <v>715</v>
      </c>
      <c r="C43" s="573" t="s">
        <v>639</v>
      </c>
      <c r="D43" s="568">
        <v>1975</v>
      </c>
      <c r="E43" s="576" t="s">
        <v>662</v>
      </c>
      <c r="F43" s="570" t="s">
        <v>716</v>
      </c>
      <c r="G43" s="570">
        <v>1</v>
      </c>
      <c r="H43" s="568" t="s">
        <v>634</v>
      </c>
      <c r="I43" s="568">
        <v>4.14</v>
      </c>
      <c r="J43" s="568">
        <v>344448</v>
      </c>
      <c r="K43" s="568"/>
      <c r="L43" s="568"/>
      <c r="M43" s="566">
        <f aca="true" t="shared" si="20" ref="M43:M51">J43+K43+L43</f>
        <v>344448</v>
      </c>
      <c r="N43" s="572">
        <v>1</v>
      </c>
      <c r="O43" s="572" t="s">
        <v>717</v>
      </c>
      <c r="P43" s="580">
        <v>4.01</v>
      </c>
      <c r="Q43" s="572">
        <v>333632</v>
      </c>
      <c r="R43" s="572">
        <v>0</v>
      </c>
      <c r="S43" s="572">
        <v>0</v>
      </c>
      <c r="T43" s="566">
        <f aca="true" t="shared" si="21" ref="T43:T51">Q43+R43+S43</f>
        <v>333632</v>
      </c>
      <c r="U43" s="566">
        <f aca="true" t="shared" si="22" ref="U43:U51">+G43-N43</f>
        <v>0</v>
      </c>
      <c r="V43" s="566">
        <f aca="true" t="shared" si="23" ref="V43:X51">J43-Q43</f>
        <v>10816</v>
      </c>
      <c r="W43" s="566">
        <f t="shared" si="23"/>
        <v>0</v>
      </c>
      <c r="X43" s="566">
        <f t="shared" si="23"/>
        <v>0</v>
      </c>
      <c r="Y43" s="566">
        <f aca="true" t="shared" si="24" ref="Y43:Y51">V43+W43+X43</f>
        <v>10816</v>
      </c>
      <c r="Z43" s="568"/>
      <c r="AA43" s="568" t="s">
        <v>633</v>
      </c>
      <c r="AB43" s="568">
        <v>4.27</v>
      </c>
      <c r="AC43" s="568">
        <v>355263.99999999994</v>
      </c>
      <c r="AD43" s="568"/>
      <c r="AE43" s="568"/>
      <c r="AF43" s="566">
        <f aca="true" t="shared" si="25" ref="AF43:AF51">AC43+AD43+AE43</f>
        <v>355263.99999999994</v>
      </c>
      <c r="AG43" s="568"/>
      <c r="AH43" s="568" t="s">
        <v>635</v>
      </c>
      <c r="AI43" s="568">
        <v>4.27</v>
      </c>
      <c r="AJ43" s="568">
        <v>355263.99999999994</v>
      </c>
      <c r="AK43" s="568"/>
      <c r="AL43" s="568"/>
      <c r="AM43" s="566">
        <f aca="true" t="shared" si="26" ref="AM43:AM106">AJ43+AK43+AL43</f>
        <v>355263.99999999994</v>
      </c>
    </row>
    <row r="44" spans="1:39" s="595" customFormat="1" ht="25.5">
      <c r="A44" s="568">
        <v>2</v>
      </c>
      <c r="B44" s="576" t="s">
        <v>718</v>
      </c>
      <c r="C44" s="573" t="s">
        <v>639</v>
      </c>
      <c r="D44" s="570">
        <v>1987</v>
      </c>
      <c r="E44" s="576" t="s">
        <v>669</v>
      </c>
      <c r="F44" s="570" t="s">
        <v>719</v>
      </c>
      <c r="G44" s="570">
        <v>1</v>
      </c>
      <c r="H44" s="568" t="s">
        <v>659</v>
      </c>
      <c r="I44" s="568">
        <v>3.88</v>
      </c>
      <c r="J44" s="568">
        <v>322816</v>
      </c>
      <c r="K44" s="568"/>
      <c r="L44" s="568"/>
      <c r="M44" s="566">
        <f t="shared" si="20"/>
        <v>322816</v>
      </c>
      <c r="N44" s="572">
        <v>1</v>
      </c>
      <c r="O44" s="572" t="s">
        <v>657</v>
      </c>
      <c r="P44" s="580">
        <v>3.88</v>
      </c>
      <c r="Q44" s="572">
        <v>322816</v>
      </c>
      <c r="R44" s="572">
        <v>0</v>
      </c>
      <c r="S44" s="572">
        <v>0</v>
      </c>
      <c r="T44" s="566">
        <f t="shared" si="21"/>
        <v>322816</v>
      </c>
      <c r="U44" s="566">
        <f t="shared" si="22"/>
        <v>0</v>
      </c>
      <c r="V44" s="566">
        <f t="shared" si="23"/>
        <v>0</v>
      </c>
      <c r="W44" s="566">
        <f t="shared" si="23"/>
        <v>0</v>
      </c>
      <c r="X44" s="566">
        <f t="shared" si="23"/>
        <v>0</v>
      </c>
      <c r="Y44" s="566">
        <f t="shared" si="24"/>
        <v>0</v>
      </c>
      <c r="Z44" s="568"/>
      <c r="AA44" s="568" t="s">
        <v>660</v>
      </c>
      <c r="AB44" s="568">
        <v>3.88</v>
      </c>
      <c r="AC44" s="568">
        <v>322816</v>
      </c>
      <c r="AD44" s="568"/>
      <c r="AE44" s="568"/>
      <c r="AF44" s="566">
        <f t="shared" si="25"/>
        <v>322816</v>
      </c>
      <c r="AG44" s="568"/>
      <c r="AH44" s="568" t="s">
        <v>720</v>
      </c>
      <c r="AI44" s="568">
        <v>4.01</v>
      </c>
      <c r="AJ44" s="568">
        <v>333632</v>
      </c>
      <c r="AK44" s="568"/>
      <c r="AL44" s="568"/>
      <c r="AM44" s="566">
        <f t="shared" si="26"/>
        <v>333632</v>
      </c>
    </row>
    <row r="45" spans="1:39" s="595" customFormat="1" ht="25.5">
      <c r="A45" s="568">
        <v>3</v>
      </c>
      <c r="B45" s="576" t="s">
        <v>721</v>
      </c>
      <c r="C45" s="573" t="s">
        <v>639</v>
      </c>
      <c r="D45" s="570">
        <v>1982</v>
      </c>
      <c r="E45" s="576" t="s">
        <v>669</v>
      </c>
      <c r="F45" s="570" t="s">
        <v>722</v>
      </c>
      <c r="G45" s="570">
        <v>1</v>
      </c>
      <c r="H45" s="568" t="s">
        <v>673</v>
      </c>
      <c r="I45" s="568">
        <v>3.53</v>
      </c>
      <c r="J45" s="568">
        <v>293696</v>
      </c>
      <c r="K45" s="568"/>
      <c r="L45" s="568"/>
      <c r="M45" s="566">
        <f t="shared" si="20"/>
        <v>293696</v>
      </c>
      <c r="N45" s="572">
        <v>1</v>
      </c>
      <c r="O45" s="572" t="s">
        <v>671</v>
      </c>
      <c r="P45" s="580">
        <v>3.53</v>
      </c>
      <c r="Q45" s="572">
        <v>293696</v>
      </c>
      <c r="R45" s="572">
        <v>0</v>
      </c>
      <c r="S45" s="572">
        <v>0</v>
      </c>
      <c r="T45" s="566">
        <f t="shared" si="21"/>
        <v>293696</v>
      </c>
      <c r="U45" s="566">
        <f t="shared" si="22"/>
        <v>0</v>
      </c>
      <c r="V45" s="566">
        <f t="shared" si="23"/>
        <v>0</v>
      </c>
      <c r="W45" s="566">
        <f t="shared" si="23"/>
        <v>0</v>
      </c>
      <c r="X45" s="566">
        <f t="shared" si="23"/>
        <v>0</v>
      </c>
      <c r="Y45" s="566">
        <f t="shared" si="24"/>
        <v>0</v>
      </c>
      <c r="Z45" s="568"/>
      <c r="AA45" s="568" t="s">
        <v>674</v>
      </c>
      <c r="AB45" s="568">
        <v>3.64</v>
      </c>
      <c r="AC45" s="568">
        <v>302848</v>
      </c>
      <c r="AD45" s="568"/>
      <c r="AE45" s="568"/>
      <c r="AF45" s="566">
        <f t="shared" si="25"/>
        <v>302848</v>
      </c>
      <c r="AG45" s="568"/>
      <c r="AH45" s="568" t="s">
        <v>723</v>
      </c>
      <c r="AI45" s="568">
        <v>3.64</v>
      </c>
      <c r="AJ45" s="568">
        <v>302848</v>
      </c>
      <c r="AK45" s="568"/>
      <c r="AL45" s="568"/>
      <c r="AM45" s="566">
        <f t="shared" si="26"/>
        <v>302848</v>
      </c>
    </row>
    <row r="46" spans="1:39" s="595" customFormat="1" ht="25.5">
      <c r="A46" s="568">
        <v>4</v>
      </c>
      <c r="B46" s="576" t="s">
        <v>724</v>
      </c>
      <c r="C46" s="573" t="s">
        <v>613</v>
      </c>
      <c r="D46" s="570">
        <v>1975</v>
      </c>
      <c r="E46" s="576" t="s">
        <v>669</v>
      </c>
      <c r="F46" s="570" t="s">
        <v>725</v>
      </c>
      <c r="G46" s="570">
        <v>1</v>
      </c>
      <c r="H46" s="568" t="s">
        <v>726</v>
      </c>
      <c r="I46" s="568">
        <v>3.31</v>
      </c>
      <c r="J46" s="568">
        <v>275392</v>
      </c>
      <c r="K46" s="568"/>
      <c r="L46" s="568"/>
      <c r="M46" s="566">
        <f t="shared" si="20"/>
        <v>275392</v>
      </c>
      <c r="N46" s="572">
        <v>1</v>
      </c>
      <c r="O46" s="572" t="s">
        <v>727</v>
      </c>
      <c r="P46" s="580">
        <v>3.21</v>
      </c>
      <c r="Q46" s="572">
        <v>267072</v>
      </c>
      <c r="R46" s="572">
        <v>0</v>
      </c>
      <c r="S46" s="572">
        <v>0</v>
      </c>
      <c r="T46" s="566">
        <f t="shared" si="21"/>
        <v>267072</v>
      </c>
      <c r="U46" s="566">
        <f t="shared" si="22"/>
        <v>0</v>
      </c>
      <c r="V46" s="566">
        <f t="shared" si="23"/>
        <v>8320</v>
      </c>
      <c r="W46" s="566">
        <f t="shared" si="23"/>
        <v>0</v>
      </c>
      <c r="X46" s="566">
        <f t="shared" si="23"/>
        <v>0</v>
      </c>
      <c r="Y46" s="566">
        <f t="shared" si="24"/>
        <v>8320</v>
      </c>
      <c r="Z46" s="568"/>
      <c r="AA46" s="568" t="s">
        <v>728</v>
      </c>
      <c r="AB46" s="568">
        <v>3.42</v>
      </c>
      <c r="AC46" s="568">
        <v>284544</v>
      </c>
      <c r="AD46" s="568"/>
      <c r="AE46" s="568"/>
      <c r="AF46" s="566">
        <f t="shared" si="25"/>
        <v>284544</v>
      </c>
      <c r="AG46" s="568"/>
      <c r="AH46" s="568" t="s">
        <v>729</v>
      </c>
      <c r="AI46" s="568">
        <v>3.53</v>
      </c>
      <c r="AJ46" s="568">
        <v>293696</v>
      </c>
      <c r="AK46" s="568"/>
      <c r="AL46" s="568"/>
      <c r="AM46" s="566">
        <f t="shared" si="26"/>
        <v>293696</v>
      </c>
    </row>
    <row r="47" spans="1:39" s="595" customFormat="1" ht="25.5">
      <c r="A47" s="568">
        <v>5</v>
      </c>
      <c r="B47" s="576" t="s">
        <v>730</v>
      </c>
      <c r="C47" s="573" t="s">
        <v>613</v>
      </c>
      <c r="D47" s="570">
        <v>1959</v>
      </c>
      <c r="E47" s="576" t="s">
        <v>669</v>
      </c>
      <c r="F47" s="570" t="s">
        <v>731</v>
      </c>
      <c r="G47" s="570">
        <v>1</v>
      </c>
      <c r="H47" s="568" t="s">
        <v>732</v>
      </c>
      <c r="I47" s="580">
        <v>4.4</v>
      </c>
      <c r="J47" s="572">
        <v>366080</v>
      </c>
      <c r="K47" s="568"/>
      <c r="L47" s="568"/>
      <c r="M47" s="566">
        <f t="shared" si="20"/>
        <v>366080</v>
      </c>
      <c r="N47" s="572">
        <v>1</v>
      </c>
      <c r="O47" s="572" t="s">
        <v>733</v>
      </c>
      <c r="P47" s="580">
        <v>4.4</v>
      </c>
      <c r="Q47" s="572">
        <v>366080</v>
      </c>
      <c r="R47" s="572">
        <v>0</v>
      </c>
      <c r="S47" s="572">
        <v>0</v>
      </c>
      <c r="T47" s="566">
        <f t="shared" si="21"/>
        <v>366080</v>
      </c>
      <c r="U47" s="566">
        <f t="shared" si="22"/>
        <v>0</v>
      </c>
      <c r="V47" s="566">
        <f t="shared" si="23"/>
        <v>0</v>
      </c>
      <c r="W47" s="566">
        <f t="shared" si="23"/>
        <v>0</v>
      </c>
      <c r="X47" s="566">
        <f t="shared" si="23"/>
        <v>0</v>
      </c>
      <c r="Y47" s="566">
        <f t="shared" si="24"/>
        <v>0</v>
      </c>
      <c r="Z47" s="568"/>
      <c r="AA47" s="568" t="s">
        <v>734</v>
      </c>
      <c r="AB47" s="580">
        <v>4.4</v>
      </c>
      <c r="AC47" s="572">
        <v>366080</v>
      </c>
      <c r="AD47" s="568"/>
      <c r="AE47" s="568"/>
      <c r="AF47" s="566">
        <f t="shared" si="25"/>
        <v>366080</v>
      </c>
      <c r="AG47" s="568"/>
      <c r="AH47" s="568" t="s">
        <v>735</v>
      </c>
      <c r="AI47" s="580">
        <v>4.4</v>
      </c>
      <c r="AJ47" s="572">
        <v>366080</v>
      </c>
      <c r="AK47" s="568"/>
      <c r="AL47" s="568"/>
      <c r="AM47" s="566">
        <f t="shared" si="26"/>
        <v>366080</v>
      </c>
    </row>
    <row r="48" spans="1:39" s="595" customFormat="1" ht="25.5">
      <c r="A48" s="568">
        <v>6</v>
      </c>
      <c r="B48" s="576" t="s">
        <v>736</v>
      </c>
      <c r="C48" s="573" t="s">
        <v>639</v>
      </c>
      <c r="D48" s="570">
        <v>1987</v>
      </c>
      <c r="E48" s="576" t="s">
        <v>695</v>
      </c>
      <c r="F48" s="570" t="s">
        <v>737</v>
      </c>
      <c r="G48" s="570">
        <v>1</v>
      </c>
      <c r="H48" s="568" t="s">
        <v>616</v>
      </c>
      <c r="I48" s="568">
        <v>2.92</v>
      </c>
      <c r="J48" s="568">
        <v>242944</v>
      </c>
      <c r="K48" s="568"/>
      <c r="L48" s="568"/>
      <c r="M48" s="566">
        <f t="shared" si="20"/>
        <v>242944</v>
      </c>
      <c r="N48" s="572">
        <v>1</v>
      </c>
      <c r="O48" s="572" t="s">
        <v>738</v>
      </c>
      <c r="P48" s="580">
        <v>2.83</v>
      </c>
      <c r="Q48" s="572">
        <v>235456</v>
      </c>
      <c r="R48" s="572">
        <v>0</v>
      </c>
      <c r="S48" s="572">
        <v>0</v>
      </c>
      <c r="T48" s="566">
        <f t="shared" si="21"/>
        <v>235456</v>
      </c>
      <c r="U48" s="566">
        <f t="shared" si="22"/>
        <v>0</v>
      </c>
      <c r="V48" s="566">
        <f t="shared" si="23"/>
        <v>7488</v>
      </c>
      <c r="W48" s="566">
        <f t="shared" si="23"/>
        <v>0</v>
      </c>
      <c r="X48" s="566">
        <f t="shared" si="23"/>
        <v>0</v>
      </c>
      <c r="Y48" s="566">
        <f t="shared" si="24"/>
        <v>7488</v>
      </c>
      <c r="Z48" s="568"/>
      <c r="AA48" s="568" t="s">
        <v>615</v>
      </c>
      <c r="AB48" s="568">
        <v>2.92</v>
      </c>
      <c r="AC48" s="568">
        <v>242944</v>
      </c>
      <c r="AD48" s="568"/>
      <c r="AE48" s="568"/>
      <c r="AF48" s="566">
        <f t="shared" si="25"/>
        <v>242944</v>
      </c>
      <c r="AG48" s="568"/>
      <c r="AH48" s="568" t="s">
        <v>617</v>
      </c>
      <c r="AI48" s="568">
        <v>3.02</v>
      </c>
      <c r="AJ48" s="568">
        <v>251264</v>
      </c>
      <c r="AK48" s="568"/>
      <c r="AL48" s="568"/>
      <c r="AM48" s="566">
        <f t="shared" si="26"/>
        <v>251264</v>
      </c>
    </row>
    <row r="49" spans="1:39" s="595" customFormat="1" ht="25.5">
      <c r="A49" s="568">
        <v>7</v>
      </c>
      <c r="B49" s="576" t="s">
        <v>739</v>
      </c>
      <c r="C49" s="573" t="s">
        <v>613</v>
      </c>
      <c r="D49" s="570">
        <v>1974</v>
      </c>
      <c r="E49" s="576" t="s">
        <v>695</v>
      </c>
      <c r="F49" s="570" t="s">
        <v>740</v>
      </c>
      <c r="G49" s="570">
        <v>1</v>
      </c>
      <c r="H49" s="568" t="s">
        <v>732</v>
      </c>
      <c r="I49" s="568">
        <v>3.53</v>
      </c>
      <c r="J49" s="568">
        <v>293696</v>
      </c>
      <c r="K49" s="568"/>
      <c r="L49" s="568"/>
      <c r="M49" s="566">
        <f t="shared" si="20"/>
        <v>293696</v>
      </c>
      <c r="N49" s="572">
        <v>1</v>
      </c>
      <c r="O49" s="572" t="s">
        <v>733</v>
      </c>
      <c r="P49" s="580">
        <v>3.53</v>
      </c>
      <c r="Q49" s="572">
        <v>293696</v>
      </c>
      <c r="R49" s="572">
        <v>0</v>
      </c>
      <c r="S49" s="572">
        <v>0</v>
      </c>
      <c r="T49" s="566">
        <f t="shared" si="21"/>
        <v>293696</v>
      </c>
      <c r="U49" s="566">
        <f t="shared" si="22"/>
        <v>0</v>
      </c>
      <c r="V49" s="566">
        <f t="shared" si="23"/>
        <v>0</v>
      </c>
      <c r="W49" s="566">
        <f t="shared" si="23"/>
        <v>0</v>
      </c>
      <c r="X49" s="566">
        <f t="shared" si="23"/>
        <v>0</v>
      </c>
      <c r="Y49" s="566">
        <f t="shared" si="24"/>
        <v>0</v>
      </c>
      <c r="Z49" s="568"/>
      <c r="AA49" s="568" t="s">
        <v>734</v>
      </c>
      <c r="AB49" s="568">
        <v>3.64</v>
      </c>
      <c r="AC49" s="568">
        <v>302848</v>
      </c>
      <c r="AD49" s="568"/>
      <c r="AE49" s="568"/>
      <c r="AF49" s="566">
        <f t="shared" si="25"/>
        <v>302848</v>
      </c>
      <c r="AG49" s="568"/>
      <c r="AH49" s="568" t="s">
        <v>735</v>
      </c>
      <c r="AI49" s="568">
        <v>3.64</v>
      </c>
      <c r="AJ49" s="568">
        <v>302848</v>
      </c>
      <c r="AK49" s="568"/>
      <c r="AL49" s="568"/>
      <c r="AM49" s="566">
        <f t="shared" si="26"/>
        <v>302848</v>
      </c>
    </row>
    <row r="50" spans="1:39" s="595" customFormat="1" ht="25.5">
      <c r="A50" s="568">
        <v>8</v>
      </c>
      <c r="B50" s="576" t="s">
        <v>741</v>
      </c>
      <c r="C50" s="573" t="s">
        <v>639</v>
      </c>
      <c r="D50" s="570">
        <v>1986</v>
      </c>
      <c r="E50" s="576" t="s">
        <v>695</v>
      </c>
      <c r="F50" s="570" t="s">
        <v>742</v>
      </c>
      <c r="G50" s="570">
        <v>1</v>
      </c>
      <c r="H50" s="568" t="s">
        <v>626</v>
      </c>
      <c r="I50" s="568">
        <v>2.92</v>
      </c>
      <c r="J50" s="568">
        <v>242944</v>
      </c>
      <c r="K50" s="568"/>
      <c r="L50" s="568"/>
      <c r="M50" s="566">
        <f t="shared" si="20"/>
        <v>242944</v>
      </c>
      <c r="N50" s="572">
        <v>1</v>
      </c>
      <c r="O50" s="572" t="s">
        <v>627</v>
      </c>
      <c r="P50" s="580">
        <v>2.83</v>
      </c>
      <c r="Q50" s="572">
        <v>235456</v>
      </c>
      <c r="R50" s="572">
        <v>0</v>
      </c>
      <c r="S50" s="572">
        <v>0</v>
      </c>
      <c r="T50" s="566">
        <f t="shared" si="21"/>
        <v>235456</v>
      </c>
      <c r="U50" s="566">
        <f t="shared" si="22"/>
        <v>0</v>
      </c>
      <c r="V50" s="566">
        <f t="shared" si="23"/>
        <v>7488</v>
      </c>
      <c r="W50" s="566">
        <f t="shared" si="23"/>
        <v>0</v>
      </c>
      <c r="X50" s="566">
        <f t="shared" si="23"/>
        <v>0</v>
      </c>
      <c r="Y50" s="566">
        <f t="shared" si="24"/>
        <v>7488</v>
      </c>
      <c r="Z50" s="568"/>
      <c r="AA50" s="568" t="s">
        <v>628</v>
      </c>
      <c r="AB50" s="568">
        <v>2.92</v>
      </c>
      <c r="AC50" s="568">
        <v>242944</v>
      </c>
      <c r="AD50" s="568"/>
      <c r="AE50" s="568"/>
      <c r="AF50" s="566">
        <f t="shared" si="25"/>
        <v>242944</v>
      </c>
      <c r="AG50" s="568"/>
      <c r="AH50" s="568" t="s">
        <v>629</v>
      </c>
      <c r="AI50" s="568">
        <v>3.02</v>
      </c>
      <c r="AJ50" s="568">
        <v>251264</v>
      </c>
      <c r="AK50" s="568"/>
      <c r="AL50" s="568"/>
      <c r="AM50" s="566">
        <f t="shared" si="26"/>
        <v>251264</v>
      </c>
    </row>
    <row r="51" spans="1:39" s="595" customFormat="1" ht="25.5">
      <c r="A51" s="568">
        <v>9</v>
      </c>
      <c r="B51" s="576" t="s">
        <v>743</v>
      </c>
      <c r="C51" s="573" t="s">
        <v>639</v>
      </c>
      <c r="D51" s="570">
        <v>1981</v>
      </c>
      <c r="E51" s="576" t="s">
        <v>695</v>
      </c>
      <c r="F51" s="570" t="s">
        <v>744</v>
      </c>
      <c r="G51" s="570">
        <v>1</v>
      </c>
      <c r="H51" s="568" t="s">
        <v>745</v>
      </c>
      <c r="I51" s="580">
        <v>3.42</v>
      </c>
      <c r="J51" s="572">
        <v>284544</v>
      </c>
      <c r="K51" s="568"/>
      <c r="L51" s="568"/>
      <c r="M51" s="566">
        <f t="shared" si="20"/>
        <v>284544</v>
      </c>
      <c r="N51" s="572">
        <v>1</v>
      </c>
      <c r="O51" s="572" t="s">
        <v>746</v>
      </c>
      <c r="P51" s="580">
        <v>3.42</v>
      </c>
      <c r="Q51" s="572">
        <v>284544</v>
      </c>
      <c r="R51" s="572">
        <v>0</v>
      </c>
      <c r="S51" s="572">
        <v>0</v>
      </c>
      <c r="T51" s="566">
        <f t="shared" si="21"/>
        <v>284544</v>
      </c>
      <c r="U51" s="566">
        <f t="shared" si="22"/>
        <v>0</v>
      </c>
      <c r="V51" s="566">
        <f t="shared" si="23"/>
        <v>0</v>
      </c>
      <c r="W51" s="566">
        <f t="shared" si="23"/>
        <v>0</v>
      </c>
      <c r="X51" s="566">
        <f t="shared" si="23"/>
        <v>0</v>
      </c>
      <c r="Y51" s="566">
        <f t="shared" si="24"/>
        <v>0</v>
      </c>
      <c r="Z51" s="568"/>
      <c r="AA51" s="568" t="s">
        <v>747</v>
      </c>
      <c r="AB51" s="580">
        <v>3.42</v>
      </c>
      <c r="AC51" s="572">
        <v>284544</v>
      </c>
      <c r="AD51" s="568"/>
      <c r="AE51" s="568"/>
      <c r="AF51" s="566">
        <f t="shared" si="25"/>
        <v>284544</v>
      </c>
      <c r="AG51" s="568"/>
      <c r="AH51" s="568" t="s">
        <v>748</v>
      </c>
      <c r="AI51" s="568">
        <v>3.53</v>
      </c>
      <c r="AJ51" s="568">
        <v>293696</v>
      </c>
      <c r="AK51" s="568"/>
      <c r="AL51" s="568"/>
      <c r="AM51" s="566">
        <f t="shared" si="26"/>
        <v>293696</v>
      </c>
    </row>
    <row r="52" spans="1:39" s="596" customFormat="1" ht="12.75">
      <c r="A52" s="564"/>
      <c r="B52" s="565" t="s">
        <v>120</v>
      </c>
      <c r="C52" s="565"/>
      <c r="D52" s="575" t="s">
        <v>1</v>
      </c>
      <c r="E52" s="575" t="s">
        <v>1</v>
      </c>
      <c r="F52" s="575" t="s">
        <v>1</v>
      </c>
      <c r="G52" s="575">
        <f>SUM(G43:G51)</f>
        <v>9</v>
      </c>
      <c r="H52" s="575" t="s">
        <v>1</v>
      </c>
      <c r="I52" s="575" t="s">
        <v>1</v>
      </c>
      <c r="J52" s="575">
        <f>SUM(J43:J51)</f>
        <v>2666560</v>
      </c>
      <c r="K52" s="575">
        <f>SUM(K43:K51)</f>
        <v>0</v>
      </c>
      <c r="L52" s="575">
        <f>SUM(L43:L51)</f>
        <v>0</v>
      </c>
      <c r="M52" s="575">
        <f aca="true" t="shared" si="27" ref="M52:AL52">SUM(M43:M51)</f>
        <v>2666560</v>
      </c>
      <c r="N52" s="575">
        <f t="shared" si="27"/>
        <v>9</v>
      </c>
      <c r="O52" s="575" t="s">
        <v>1</v>
      </c>
      <c r="P52" s="575" t="s">
        <v>1</v>
      </c>
      <c r="Q52" s="581">
        <f t="shared" si="27"/>
        <v>2632448</v>
      </c>
      <c r="R52" s="575">
        <f t="shared" si="27"/>
        <v>0</v>
      </c>
      <c r="S52" s="575">
        <f t="shared" si="27"/>
        <v>0</v>
      </c>
      <c r="T52" s="575">
        <f t="shared" si="27"/>
        <v>2632448</v>
      </c>
      <c r="U52" s="575">
        <f t="shared" si="27"/>
        <v>0</v>
      </c>
      <c r="V52" s="575">
        <f t="shared" si="27"/>
        <v>34112</v>
      </c>
      <c r="W52" s="575">
        <f t="shared" si="27"/>
        <v>0</v>
      </c>
      <c r="X52" s="575">
        <f t="shared" si="27"/>
        <v>0</v>
      </c>
      <c r="Y52" s="575">
        <f t="shared" si="27"/>
        <v>34112</v>
      </c>
      <c r="Z52" s="575">
        <f t="shared" si="27"/>
        <v>0</v>
      </c>
      <c r="AA52" s="575">
        <f t="shared" si="27"/>
        <v>0</v>
      </c>
      <c r="AB52" s="575">
        <f t="shared" si="27"/>
        <v>32.510000000000005</v>
      </c>
      <c r="AC52" s="575">
        <f t="shared" si="27"/>
        <v>2704832</v>
      </c>
      <c r="AD52" s="575">
        <f t="shared" si="27"/>
        <v>0</v>
      </c>
      <c r="AE52" s="575">
        <f t="shared" si="27"/>
        <v>0</v>
      </c>
      <c r="AF52" s="575">
        <f t="shared" si="27"/>
        <v>2704832</v>
      </c>
      <c r="AG52" s="575">
        <f t="shared" si="27"/>
        <v>0</v>
      </c>
      <c r="AH52" s="575" t="s">
        <v>1</v>
      </c>
      <c r="AI52" s="575" t="s">
        <v>1</v>
      </c>
      <c r="AJ52" s="575">
        <f t="shared" si="27"/>
        <v>2750592</v>
      </c>
      <c r="AK52" s="575">
        <f t="shared" si="27"/>
        <v>0</v>
      </c>
      <c r="AL52" s="575">
        <f t="shared" si="27"/>
        <v>0</v>
      </c>
      <c r="AM52" s="566">
        <f t="shared" si="26"/>
        <v>2750592</v>
      </c>
    </row>
    <row r="53" spans="1:39" s="595" customFormat="1" ht="12.75">
      <c r="A53" s="568"/>
      <c r="B53" s="574" t="s">
        <v>600</v>
      </c>
      <c r="C53" s="569"/>
      <c r="D53" s="566"/>
      <c r="E53" s="566"/>
      <c r="F53" s="566"/>
      <c r="G53" s="568"/>
      <c r="H53" s="566"/>
      <c r="I53" s="566"/>
      <c r="J53" s="568"/>
      <c r="K53" s="568"/>
      <c r="L53" s="568"/>
      <c r="M53" s="568"/>
      <c r="N53" s="568"/>
      <c r="O53" s="566"/>
      <c r="P53" s="566"/>
      <c r="Q53" s="579"/>
      <c r="R53" s="568"/>
      <c r="S53" s="568"/>
      <c r="T53" s="568"/>
      <c r="U53" s="568"/>
      <c r="V53" s="568"/>
      <c r="W53" s="568"/>
      <c r="X53" s="568"/>
      <c r="Y53" s="568"/>
      <c r="Z53" s="568"/>
      <c r="AA53" s="566"/>
      <c r="AB53" s="566"/>
      <c r="AC53" s="568"/>
      <c r="AD53" s="568"/>
      <c r="AE53" s="568"/>
      <c r="AF53" s="568"/>
      <c r="AG53" s="568"/>
      <c r="AH53" s="566"/>
      <c r="AI53" s="566"/>
      <c r="AJ53" s="568"/>
      <c r="AK53" s="568"/>
      <c r="AL53" s="568"/>
      <c r="AM53" s="566">
        <f t="shared" si="26"/>
        <v>0</v>
      </c>
    </row>
    <row r="54" spans="1:39" s="595" customFormat="1" ht="25.5">
      <c r="A54" s="568">
        <v>1</v>
      </c>
      <c r="B54" s="576" t="s">
        <v>749</v>
      </c>
      <c r="C54" s="573" t="s">
        <v>613</v>
      </c>
      <c r="D54" s="570">
        <v>1964</v>
      </c>
      <c r="E54" s="576" t="s">
        <v>662</v>
      </c>
      <c r="F54" s="570" t="s">
        <v>750</v>
      </c>
      <c r="G54" s="570">
        <v>1</v>
      </c>
      <c r="H54" s="568" t="s">
        <v>751</v>
      </c>
      <c r="I54" s="580">
        <v>5.34</v>
      </c>
      <c r="J54" s="572">
        <v>444288</v>
      </c>
      <c r="K54" s="568"/>
      <c r="L54" s="568"/>
      <c r="M54" s="566">
        <f>J54+K54+L54</f>
        <v>444288</v>
      </c>
      <c r="N54" s="572">
        <v>1</v>
      </c>
      <c r="O54" s="572" t="s">
        <v>752</v>
      </c>
      <c r="P54" s="580">
        <v>5.34</v>
      </c>
      <c r="Q54" s="572">
        <v>444288</v>
      </c>
      <c r="R54" s="572">
        <v>0</v>
      </c>
      <c r="S54" s="572">
        <v>0</v>
      </c>
      <c r="T54" s="566">
        <f>Q54+R54+S54</f>
        <v>444288</v>
      </c>
      <c r="U54" s="566">
        <f>+G54-N54</f>
        <v>0</v>
      </c>
      <c r="V54" s="566">
        <f aca="true" t="shared" si="28" ref="V54:X58">J54-Q54</f>
        <v>0</v>
      </c>
      <c r="W54" s="566">
        <f t="shared" si="28"/>
        <v>0</v>
      </c>
      <c r="X54" s="566">
        <f t="shared" si="28"/>
        <v>0</v>
      </c>
      <c r="Y54" s="566">
        <f>V54+W54+X54</f>
        <v>0</v>
      </c>
      <c r="Z54" s="568"/>
      <c r="AA54" s="568" t="s">
        <v>753</v>
      </c>
      <c r="AB54" s="580">
        <v>5.34</v>
      </c>
      <c r="AC54" s="572">
        <v>444288</v>
      </c>
      <c r="AD54" s="568"/>
      <c r="AE54" s="568"/>
      <c r="AF54" s="566">
        <f>AC54+AD54+AE54</f>
        <v>444288</v>
      </c>
      <c r="AG54" s="568"/>
      <c r="AH54" s="568" t="s">
        <v>754</v>
      </c>
      <c r="AI54" s="580">
        <v>5.34</v>
      </c>
      <c r="AJ54" s="572">
        <v>444288</v>
      </c>
      <c r="AK54" s="568"/>
      <c r="AL54" s="568"/>
      <c r="AM54" s="566">
        <f t="shared" si="26"/>
        <v>444288</v>
      </c>
    </row>
    <row r="55" spans="1:39" s="595" customFormat="1" ht="25.5">
      <c r="A55" s="568">
        <v>2</v>
      </c>
      <c r="B55" s="576" t="s">
        <v>755</v>
      </c>
      <c r="C55" s="573" t="s">
        <v>613</v>
      </c>
      <c r="D55" s="570">
        <v>1960</v>
      </c>
      <c r="E55" s="576" t="s">
        <v>669</v>
      </c>
      <c r="F55" s="570" t="s">
        <v>756</v>
      </c>
      <c r="G55" s="570">
        <v>1</v>
      </c>
      <c r="H55" s="568" t="s">
        <v>757</v>
      </c>
      <c r="I55" s="580">
        <v>4.27</v>
      </c>
      <c r="J55" s="572">
        <v>355264</v>
      </c>
      <c r="K55" s="568"/>
      <c r="L55" s="568"/>
      <c r="M55" s="566">
        <f>J55+K55+L55</f>
        <v>355264</v>
      </c>
      <c r="N55" s="572">
        <v>1</v>
      </c>
      <c r="O55" s="572" t="s">
        <v>758</v>
      </c>
      <c r="P55" s="580">
        <v>4.27</v>
      </c>
      <c r="Q55" s="572">
        <v>355264</v>
      </c>
      <c r="R55" s="572">
        <v>0</v>
      </c>
      <c r="S55" s="572">
        <v>0</v>
      </c>
      <c r="T55" s="566">
        <f>Q55+R55+S55</f>
        <v>355264</v>
      </c>
      <c r="U55" s="566">
        <f>+G55-N55</f>
        <v>0</v>
      </c>
      <c r="V55" s="566">
        <f t="shared" si="28"/>
        <v>0</v>
      </c>
      <c r="W55" s="566">
        <f t="shared" si="28"/>
        <v>0</v>
      </c>
      <c r="X55" s="566">
        <f t="shared" si="28"/>
        <v>0</v>
      </c>
      <c r="Y55" s="566">
        <f>V55+W55+X55</f>
        <v>0</v>
      </c>
      <c r="Z55" s="568"/>
      <c r="AA55" s="568" t="s">
        <v>759</v>
      </c>
      <c r="AB55" s="580">
        <v>4.27</v>
      </c>
      <c r="AC55" s="572">
        <v>355264</v>
      </c>
      <c r="AD55" s="568"/>
      <c r="AE55" s="568"/>
      <c r="AF55" s="566">
        <f>AC55+AD55+AE55</f>
        <v>355264</v>
      </c>
      <c r="AG55" s="568"/>
      <c r="AH55" s="568" t="s">
        <v>760</v>
      </c>
      <c r="AI55" s="568">
        <v>4.4</v>
      </c>
      <c r="AJ55" s="568">
        <v>366080.00000000006</v>
      </c>
      <c r="AK55" s="568"/>
      <c r="AL55" s="568"/>
      <c r="AM55" s="566">
        <f t="shared" si="26"/>
        <v>366080.00000000006</v>
      </c>
    </row>
    <row r="56" spans="1:39" s="595" customFormat="1" ht="25.5">
      <c r="A56" s="568">
        <v>3</v>
      </c>
      <c r="B56" s="576" t="s">
        <v>761</v>
      </c>
      <c r="C56" s="573" t="s">
        <v>639</v>
      </c>
      <c r="D56" s="570">
        <v>1972</v>
      </c>
      <c r="E56" s="576" t="s">
        <v>669</v>
      </c>
      <c r="F56" s="570" t="s">
        <v>762</v>
      </c>
      <c r="G56" s="570">
        <v>1</v>
      </c>
      <c r="H56" s="568" t="s">
        <v>763</v>
      </c>
      <c r="I56" s="568">
        <v>3.42</v>
      </c>
      <c r="J56" s="568">
        <v>284544</v>
      </c>
      <c r="K56" s="568"/>
      <c r="L56" s="568"/>
      <c r="M56" s="566">
        <f>J56+K56+L56</f>
        <v>284544</v>
      </c>
      <c r="N56" s="572">
        <v>1</v>
      </c>
      <c r="O56" s="572" t="s">
        <v>764</v>
      </c>
      <c r="P56" s="580">
        <v>3.31</v>
      </c>
      <c r="Q56" s="572">
        <v>275392</v>
      </c>
      <c r="R56" s="572">
        <v>0</v>
      </c>
      <c r="S56" s="572">
        <v>0</v>
      </c>
      <c r="T56" s="566">
        <f>Q56+R56+S56</f>
        <v>275392</v>
      </c>
      <c r="U56" s="566">
        <f>+G56-N56</f>
        <v>0</v>
      </c>
      <c r="V56" s="566">
        <f t="shared" si="28"/>
        <v>9152</v>
      </c>
      <c r="W56" s="566">
        <f t="shared" si="28"/>
        <v>0</v>
      </c>
      <c r="X56" s="566">
        <f t="shared" si="28"/>
        <v>0</v>
      </c>
      <c r="Y56" s="566">
        <f>V56+W56+X56</f>
        <v>9152</v>
      </c>
      <c r="Z56" s="568"/>
      <c r="AA56" s="568" t="s">
        <v>765</v>
      </c>
      <c r="AB56" s="568">
        <v>3.53</v>
      </c>
      <c r="AC56" s="568">
        <v>293696</v>
      </c>
      <c r="AD56" s="568"/>
      <c r="AE56" s="568"/>
      <c r="AF56" s="566">
        <f>AC56+AD56+AE56</f>
        <v>293696</v>
      </c>
      <c r="AG56" s="568"/>
      <c r="AH56" s="568" t="s">
        <v>766</v>
      </c>
      <c r="AI56" s="568">
        <v>3.53</v>
      </c>
      <c r="AJ56" s="568">
        <v>293696</v>
      </c>
      <c r="AK56" s="568"/>
      <c r="AL56" s="568"/>
      <c r="AM56" s="566">
        <f t="shared" si="26"/>
        <v>293696</v>
      </c>
    </row>
    <row r="57" spans="1:39" s="595" customFormat="1" ht="25.5">
      <c r="A57" s="568">
        <v>4</v>
      </c>
      <c r="B57" s="576" t="s">
        <v>767</v>
      </c>
      <c r="C57" s="573" t="s">
        <v>613</v>
      </c>
      <c r="D57" s="570">
        <v>1971</v>
      </c>
      <c r="E57" s="576" t="s">
        <v>669</v>
      </c>
      <c r="F57" s="570" t="s">
        <v>768</v>
      </c>
      <c r="G57" s="570">
        <v>1</v>
      </c>
      <c r="H57" s="568" t="s">
        <v>769</v>
      </c>
      <c r="I57" s="580">
        <v>4.4</v>
      </c>
      <c r="J57" s="572">
        <v>366080</v>
      </c>
      <c r="K57" s="568"/>
      <c r="L57" s="568"/>
      <c r="M57" s="566">
        <f>J57+K57+L57</f>
        <v>366080</v>
      </c>
      <c r="N57" s="572">
        <v>1</v>
      </c>
      <c r="O57" s="572" t="s">
        <v>770</v>
      </c>
      <c r="P57" s="580">
        <v>4.4</v>
      </c>
      <c r="Q57" s="572">
        <v>366080</v>
      </c>
      <c r="R57" s="572">
        <v>0</v>
      </c>
      <c r="S57" s="572">
        <v>0</v>
      </c>
      <c r="T57" s="566">
        <f>Q57+R57+S57</f>
        <v>366080</v>
      </c>
      <c r="U57" s="566">
        <f>+G57-N57</f>
        <v>0</v>
      </c>
      <c r="V57" s="566">
        <f t="shared" si="28"/>
        <v>0</v>
      </c>
      <c r="W57" s="566">
        <f t="shared" si="28"/>
        <v>0</v>
      </c>
      <c r="X57" s="566">
        <f t="shared" si="28"/>
        <v>0</v>
      </c>
      <c r="Y57" s="566">
        <f>V57+W57+X57</f>
        <v>0</v>
      </c>
      <c r="Z57" s="568"/>
      <c r="AA57" s="568" t="s">
        <v>771</v>
      </c>
      <c r="AB57" s="580">
        <v>4.4</v>
      </c>
      <c r="AC57" s="572">
        <v>366080</v>
      </c>
      <c r="AD57" s="568"/>
      <c r="AE57" s="568"/>
      <c r="AF57" s="566">
        <f>AC57+AD57+AE57</f>
        <v>366080</v>
      </c>
      <c r="AG57" s="568"/>
      <c r="AH57" s="568" t="s">
        <v>772</v>
      </c>
      <c r="AI57" s="580">
        <v>4.4</v>
      </c>
      <c r="AJ57" s="572">
        <v>366080</v>
      </c>
      <c r="AK57" s="568"/>
      <c r="AL57" s="568"/>
      <c r="AM57" s="566">
        <f t="shared" si="26"/>
        <v>366080</v>
      </c>
    </row>
    <row r="58" spans="1:39" s="595" customFormat="1" ht="25.5">
      <c r="A58" s="568">
        <v>5</v>
      </c>
      <c r="B58" s="576" t="s">
        <v>773</v>
      </c>
      <c r="C58" s="573" t="s">
        <v>639</v>
      </c>
      <c r="D58" s="570">
        <v>1979</v>
      </c>
      <c r="E58" s="576" t="s">
        <v>669</v>
      </c>
      <c r="F58" s="570" t="s">
        <v>774</v>
      </c>
      <c r="G58" s="570">
        <v>1</v>
      </c>
      <c r="H58" s="568" t="s">
        <v>775</v>
      </c>
      <c r="I58" s="568">
        <v>3.31</v>
      </c>
      <c r="J58" s="568">
        <v>275392</v>
      </c>
      <c r="K58" s="568"/>
      <c r="L58" s="568"/>
      <c r="M58" s="566">
        <f>J58+K58+L58</f>
        <v>275392</v>
      </c>
      <c r="N58" s="572">
        <v>1</v>
      </c>
      <c r="O58" s="572" t="s">
        <v>776</v>
      </c>
      <c r="P58" s="580">
        <v>3.21</v>
      </c>
      <c r="Q58" s="572">
        <v>267072</v>
      </c>
      <c r="R58" s="572">
        <v>0</v>
      </c>
      <c r="S58" s="572">
        <v>0</v>
      </c>
      <c r="T58" s="566">
        <f>Q58+R58+S58</f>
        <v>267072</v>
      </c>
      <c r="U58" s="566">
        <f>+G58-N58</f>
        <v>0</v>
      </c>
      <c r="V58" s="566">
        <f t="shared" si="28"/>
        <v>8320</v>
      </c>
      <c r="W58" s="566">
        <f t="shared" si="28"/>
        <v>0</v>
      </c>
      <c r="X58" s="566">
        <f t="shared" si="28"/>
        <v>0</v>
      </c>
      <c r="Y58" s="566">
        <f>V58+W58+X58</f>
        <v>8320</v>
      </c>
      <c r="Z58" s="568"/>
      <c r="AA58" s="568" t="s">
        <v>733</v>
      </c>
      <c r="AB58" s="568">
        <v>3.42</v>
      </c>
      <c r="AC58" s="568">
        <v>284544</v>
      </c>
      <c r="AD58" s="568"/>
      <c r="AE58" s="568"/>
      <c r="AF58" s="566">
        <f>AC58+AD58+AE58</f>
        <v>284544</v>
      </c>
      <c r="AG58" s="568"/>
      <c r="AH58" s="568" t="s">
        <v>732</v>
      </c>
      <c r="AI58" s="568">
        <v>3.53</v>
      </c>
      <c r="AJ58" s="568">
        <v>293696</v>
      </c>
      <c r="AK58" s="568"/>
      <c r="AL58" s="568"/>
      <c r="AM58" s="566">
        <f t="shared" si="26"/>
        <v>293696</v>
      </c>
    </row>
    <row r="59" spans="1:39" s="596" customFormat="1" ht="12.75">
      <c r="A59" s="564"/>
      <c r="B59" s="565" t="s">
        <v>120</v>
      </c>
      <c r="C59" s="565"/>
      <c r="D59" s="575" t="s">
        <v>1</v>
      </c>
      <c r="E59" s="575" t="s">
        <v>1</v>
      </c>
      <c r="F59" s="575" t="s">
        <v>1</v>
      </c>
      <c r="G59" s="575">
        <f>SUM(G54:G58)</f>
        <v>5</v>
      </c>
      <c r="H59" s="575" t="s">
        <v>1</v>
      </c>
      <c r="I59" s="575" t="s">
        <v>1</v>
      </c>
      <c r="J59" s="575">
        <f>SUM(J54:J58)</f>
        <v>1725568</v>
      </c>
      <c r="K59" s="575">
        <f>SUM(K54:K58)</f>
        <v>0</v>
      </c>
      <c r="L59" s="575">
        <f>SUM(L54:L58)</f>
        <v>0</v>
      </c>
      <c r="M59" s="575">
        <f>SUM(M54:M58)</f>
        <v>1725568</v>
      </c>
      <c r="N59" s="575">
        <f>SUM(N54:N58)</f>
        <v>5</v>
      </c>
      <c r="O59" s="575" t="s">
        <v>1</v>
      </c>
      <c r="P59" s="575" t="s">
        <v>1</v>
      </c>
      <c r="Q59" s="581">
        <f aca="true" t="shared" si="29" ref="Q59:Y59">SUM(Q54:Q58)</f>
        <v>1708096</v>
      </c>
      <c r="R59" s="575">
        <f t="shared" si="29"/>
        <v>0</v>
      </c>
      <c r="S59" s="575">
        <f t="shared" si="29"/>
        <v>0</v>
      </c>
      <c r="T59" s="575">
        <f t="shared" si="29"/>
        <v>1708096</v>
      </c>
      <c r="U59" s="575">
        <f t="shared" si="29"/>
        <v>0</v>
      </c>
      <c r="V59" s="575">
        <f t="shared" si="29"/>
        <v>17472</v>
      </c>
      <c r="W59" s="575">
        <f t="shared" si="29"/>
        <v>0</v>
      </c>
      <c r="X59" s="575">
        <f t="shared" si="29"/>
        <v>0</v>
      </c>
      <c r="Y59" s="575">
        <f t="shared" si="29"/>
        <v>17472</v>
      </c>
      <c r="Z59" s="575">
        <f>SUM(Z54:Z58)</f>
        <v>0</v>
      </c>
      <c r="AA59" s="575" t="s">
        <v>1</v>
      </c>
      <c r="AB59" s="575" t="s">
        <v>1</v>
      </c>
      <c r="AC59" s="575">
        <f>SUM(AC54:AC58)</f>
        <v>1743872</v>
      </c>
      <c r="AD59" s="575">
        <f>SUM(AD54:AD58)</f>
        <v>0</v>
      </c>
      <c r="AE59" s="575">
        <f>SUM(AE54:AE58)</f>
        <v>0</v>
      </c>
      <c r="AF59" s="575">
        <f>SUM(AF54:AF58)</f>
        <v>1743872</v>
      </c>
      <c r="AG59" s="575">
        <f>SUM(AG54:AG58)</f>
        <v>0</v>
      </c>
      <c r="AH59" s="575" t="s">
        <v>1</v>
      </c>
      <c r="AI59" s="575" t="s">
        <v>1</v>
      </c>
      <c r="AJ59" s="575">
        <f>SUM(AJ54:AJ58)</f>
        <v>1763840</v>
      </c>
      <c r="AK59" s="575">
        <f>SUM(AK54:AK58)</f>
        <v>0</v>
      </c>
      <c r="AL59" s="575">
        <f>SUM(AL54:AL58)</f>
        <v>0</v>
      </c>
      <c r="AM59" s="566">
        <f t="shared" si="26"/>
        <v>1763840</v>
      </c>
    </row>
    <row r="60" spans="1:39" s="595" customFormat="1" ht="12.75">
      <c r="A60" s="568"/>
      <c r="B60" s="574" t="s">
        <v>601</v>
      </c>
      <c r="C60" s="569"/>
      <c r="D60" s="566"/>
      <c r="E60" s="566"/>
      <c r="F60" s="566"/>
      <c r="G60" s="568"/>
      <c r="H60" s="566"/>
      <c r="I60" s="566"/>
      <c r="J60" s="568"/>
      <c r="K60" s="568"/>
      <c r="L60" s="568"/>
      <c r="M60" s="568"/>
      <c r="N60" s="568"/>
      <c r="O60" s="566"/>
      <c r="P60" s="566"/>
      <c r="Q60" s="579"/>
      <c r="R60" s="568"/>
      <c r="S60" s="568"/>
      <c r="T60" s="568"/>
      <c r="U60" s="568"/>
      <c r="V60" s="568"/>
      <c r="W60" s="568"/>
      <c r="X60" s="568"/>
      <c r="Y60" s="568"/>
      <c r="Z60" s="568"/>
      <c r="AA60" s="566"/>
      <c r="AB60" s="566"/>
      <c r="AC60" s="568"/>
      <c r="AD60" s="568"/>
      <c r="AE60" s="568"/>
      <c r="AF60" s="568"/>
      <c r="AG60" s="568"/>
      <c r="AH60" s="566"/>
      <c r="AI60" s="566"/>
      <c r="AJ60" s="568"/>
      <c r="AK60" s="568"/>
      <c r="AL60" s="568"/>
      <c r="AM60" s="566">
        <f t="shared" si="26"/>
        <v>0</v>
      </c>
    </row>
    <row r="61" spans="1:39" s="595" customFormat="1" ht="25.5">
      <c r="A61" s="568">
        <v>1</v>
      </c>
      <c r="B61" s="576" t="s">
        <v>777</v>
      </c>
      <c r="C61" s="573" t="s">
        <v>613</v>
      </c>
      <c r="D61" s="570">
        <v>1978</v>
      </c>
      <c r="E61" s="576" t="s">
        <v>662</v>
      </c>
      <c r="F61" s="570" t="s">
        <v>778</v>
      </c>
      <c r="G61" s="570">
        <v>1</v>
      </c>
      <c r="H61" s="568" t="s">
        <v>779</v>
      </c>
      <c r="I61" s="568">
        <v>5.17</v>
      </c>
      <c r="J61" s="568">
        <v>430144</v>
      </c>
      <c r="K61" s="568"/>
      <c r="L61" s="568"/>
      <c r="M61" s="566">
        <f aca="true" t="shared" si="30" ref="M61:M67">J61+K61+L61</f>
        <v>430144</v>
      </c>
      <c r="N61" s="572">
        <v>1</v>
      </c>
      <c r="O61" s="572" t="s">
        <v>780</v>
      </c>
      <c r="P61" s="580">
        <v>5.01</v>
      </c>
      <c r="Q61" s="572">
        <v>416832</v>
      </c>
      <c r="R61" s="572">
        <v>0</v>
      </c>
      <c r="S61" s="572">
        <v>0</v>
      </c>
      <c r="T61" s="566">
        <f aca="true" t="shared" si="31" ref="T61:T67">Q61+R61+S61</f>
        <v>416832</v>
      </c>
      <c r="U61" s="566">
        <f aca="true" t="shared" si="32" ref="U61:U67">+G61-N61</f>
        <v>0</v>
      </c>
      <c r="V61" s="566">
        <f aca="true" t="shared" si="33" ref="V61:X67">J61-Q61</f>
        <v>13312</v>
      </c>
      <c r="W61" s="566">
        <f t="shared" si="33"/>
        <v>0</v>
      </c>
      <c r="X61" s="566">
        <f t="shared" si="33"/>
        <v>0</v>
      </c>
      <c r="Y61" s="566">
        <f aca="true" t="shared" si="34" ref="Y61:Y67">V61+W61+X61</f>
        <v>13312</v>
      </c>
      <c r="Z61" s="568"/>
      <c r="AA61" s="568" t="s">
        <v>781</v>
      </c>
      <c r="AB61" s="568">
        <v>5.17</v>
      </c>
      <c r="AC61" s="568">
        <v>430144</v>
      </c>
      <c r="AD61" s="568"/>
      <c r="AE61" s="568"/>
      <c r="AF61" s="566">
        <f aca="true" t="shared" si="35" ref="AF61:AF67">AC61+AD61+AE61</f>
        <v>430144</v>
      </c>
      <c r="AG61" s="568"/>
      <c r="AH61" s="568" t="s">
        <v>782</v>
      </c>
      <c r="AI61" s="568">
        <v>5.17</v>
      </c>
      <c r="AJ61" s="568">
        <v>430144</v>
      </c>
      <c r="AK61" s="568"/>
      <c r="AL61" s="568"/>
      <c r="AM61" s="566">
        <f t="shared" si="26"/>
        <v>430144</v>
      </c>
    </row>
    <row r="62" spans="1:39" s="595" customFormat="1" ht="25.5">
      <c r="A62" s="568">
        <v>2</v>
      </c>
      <c r="B62" s="576" t="s">
        <v>783</v>
      </c>
      <c r="C62" s="573" t="s">
        <v>639</v>
      </c>
      <c r="D62" s="570">
        <v>1973</v>
      </c>
      <c r="E62" s="576" t="s">
        <v>669</v>
      </c>
      <c r="F62" s="570" t="s">
        <v>784</v>
      </c>
      <c r="G62" s="570">
        <v>1</v>
      </c>
      <c r="H62" s="568" t="s">
        <v>785</v>
      </c>
      <c r="I62" s="580">
        <v>4.4</v>
      </c>
      <c r="J62" s="572">
        <v>366080</v>
      </c>
      <c r="K62" s="568"/>
      <c r="L62" s="568"/>
      <c r="M62" s="566">
        <f t="shared" si="30"/>
        <v>366080</v>
      </c>
      <c r="N62" s="572">
        <v>1</v>
      </c>
      <c r="O62" s="572" t="s">
        <v>786</v>
      </c>
      <c r="P62" s="580">
        <v>4.4</v>
      </c>
      <c r="Q62" s="572">
        <v>366080</v>
      </c>
      <c r="R62" s="572">
        <v>0</v>
      </c>
      <c r="S62" s="572">
        <v>0</v>
      </c>
      <c r="T62" s="566">
        <f t="shared" si="31"/>
        <v>366080</v>
      </c>
      <c r="U62" s="566">
        <f t="shared" si="32"/>
        <v>0</v>
      </c>
      <c r="V62" s="566">
        <f t="shared" si="33"/>
        <v>0</v>
      </c>
      <c r="W62" s="566">
        <f t="shared" si="33"/>
        <v>0</v>
      </c>
      <c r="X62" s="566">
        <f t="shared" si="33"/>
        <v>0</v>
      </c>
      <c r="Y62" s="566">
        <f t="shared" si="34"/>
        <v>0</v>
      </c>
      <c r="Z62" s="568"/>
      <c r="AA62" s="568" t="s">
        <v>787</v>
      </c>
      <c r="AB62" s="580">
        <v>4.4</v>
      </c>
      <c r="AC62" s="572">
        <v>366080</v>
      </c>
      <c r="AD62" s="568"/>
      <c r="AE62" s="568"/>
      <c r="AF62" s="566">
        <f t="shared" si="35"/>
        <v>366080</v>
      </c>
      <c r="AG62" s="568"/>
      <c r="AH62" s="568" t="s">
        <v>788</v>
      </c>
      <c r="AI62" s="580">
        <v>4.4</v>
      </c>
      <c r="AJ62" s="572">
        <v>366080</v>
      </c>
      <c r="AK62" s="568"/>
      <c r="AL62" s="568"/>
      <c r="AM62" s="566">
        <f t="shared" si="26"/>
        <v>366080</v>
      </c>
    </row>
    <row r="63" spans="1:39" s="595" customFormat="1" ht="25.5">
      <c r="A63" s="568">
        <v>3</v>
      </c>
      <c r="B63" s="576" t="s">
        <v>789</v>
      </c>
      <c r="C63" s="573" t="s">
        <v>639</v>
      </c>
      <c r="D63" s="570">
        <v>1996</v>
      </c>
      <c r="E63" s="576" t="s">
        <v>669</v>
      </c>
      <c r="F63" s="570" t="s">
        <v>790</v>
      </c>
      <c r="G63" s="570">
        <v>1</v>
      </c>
      <c r="H63" s="568" t="s">
        <v>779</v>
      </c>
      <c r="I63" s="568">
        <v>3.53</v>
      </c>
      <c r="J63" s="568">
        <v>293696</v>
      </c>
      <c r="K63" s="568"/>
      <c r="L63" s="568"/>
      <c r="M63" s="566">
        <f t="shared" si="30"/>
        <v>293696</v>
      </c>
      <c r="N63" s="572">
        <v>1</v>
      </c>
      <c r="O63" s="572" t="s">
        <v>780</v>
      </c>
      <c r="P63" s="580">
        <v>3.42</v>
      </c>
      <c r="Q63" s="572">
        <v>284544</v>
      </c>
      <c r="R63" s="572">
        <v>0</v>
      </c>
      <c r="S63" s="572">
        <v>0</v>
      </c>
      <c r="T63" s="566">
        <f t="shared" si="31"/>
        <v>284544</v>
      </c>
      <c r="U63" s="566">
        <f t="shared" si="32"/>
        <v>0</v>
      </c>
      <c r="V63" s="566">
        <f t="shared" si="33"/>
        <v>9152</v>
      </c>
      <c r="W63" s="566">
        <f t="shared" si="33"/>
        <v>0</v>
      </c>
      <c r="X63" s="566">
        <f t="shared" si="33"/>
        <v>0</v>
      </c>
      <c r="Y63" s="566">
        <f t="shared" si="34"/>
        <v>9152</v>
      </c>
      <c r="Z63" s="568"/>
      <c r="AA63" s="568" t="s">
        <v>781</v>
      </c>
      <c r="AB63" s="568">
        <v>3.53</v>
      </c>
      <c r="AC63" s="568">
        <v>293696</v>
      </c>
      <c r="AD63" s="568"/>
      <c r="AE63" s="568"/>
      <c r="AF63" s="566">
        <f t="shared" si="35"/>
        <v>293696</v>
      </c>
      <c r="AG63" s="568"/>
      <c r="AH63" s="568" t="s">
        <v>782</v>
      </c>
      <c r="AI63" s="568">
        <v>3.64</v>
      </c>
      <c r="AJ63" s="568">
        <v>302848</v>
      </c>
      <c r="AK63" s="568"/>
      <c r="AL63" s="568"/>
      <c r="AM63" s="566">
        <f t="shared" si="26"/>
        <v>302848</v>
      </c>
    </row>
    <row r="64" spans="1:39" s="595" customFormat="1" ht="25.5">
      <c r="A64" s="568">
        <v>4</v>
      </c>
      <c r="B64" s="576" t="s">
        <v>791</v>
      </c>
      <c r="C64" s="573" t="s">
        <v>639</v>
      </c>
      <c r="D64" s="570">
        <v>1981</v>
      </c>
      <c r="E64" s="576" t="s">
        <v>669</v>
      </c>
      <c r="F64" s="570" t="s">
        <v>792</v>
      </c>
      <c r="G64" s="570">
        <v>1</v>
      </c>
      <c r="H64" s="568" t="s">
        <v>763</v>
      </c>
      <c r="I64" s="580">
        <v>3.53</v>
      </c>
      <c r="J64" s="572">
        <v>293696</v>
      </c>
      <c r="K64" s="568"/>
      <c r="L64" s="568"/>
      <c r="M64" s="566">
        <f t="shared" si="30"/>
        <v>293696</v>
      </c>
      <c r="N64" s="572">
        <v>1</v>
      </c>
      <c r="O64" s="572" t="s">
        <v>764</v>
      </c>
      <c r="P64" s="580">
        <v>3.53</v>
      </c>
      <c r="Q64" s="572">
        <v>293696</v>
      </c>
      <c r="R64" s="572">
        <v>0</v>
      </c>
      <c r="S64" s="572">
        <v>0</v>
      </c>
      <c r="T64" s="566">
        <f t="shared" si="31"/>
        <v>293696</v>
      </c>
      <c r="U64" s="566">
        <f t="shared" si="32"/>
        <v>0</v>
      </c>
      <c r="V64" s="566">
        <f t="shared" si="33"/>
        <v>0</v>
      </c>
      <c r="W64" s="566">
        <f t="shared" si="33"/>
        <v>0</v>
      </c>
      <c r="X64" s="566">
        <f t="shared" si="33"/>
        <v>0</v>
      </c>
      <c r="Y64" s="566">
        <f t="shared" si="34"/>
        <v>0</v>
      </c>
      <c r="Z64" s="568"/>
      <c r="AA64" s="568" t="s">
        <v>765</v>
      </c>
      <c r="AB64" s="568">
        <v>3.64</v>
      </c>
      <c r="AC64" s="568">
        <v>302848</v>
      </c>
      <c r="AD64" s="568"/>
      <c r="AE64" s="568"/>
      <c r="AF64" s="566">
        <f t="shared" si="35"/>
        <v>302848</v>
      </c>
      <c r="AG64" s="568"/>
      <c r="AH64" s="568" t="s">
        <v>766</v>
      </c>
      <c r="AI64" s="568">
        <v>3.64</v>
      </c>
      <c r="AJ64" s="568">
        <v>302848</v>
      </c>
      <c r="AK64" s="568"/>
      <c r="AL64" s="568"/>
      <c r="AM64" s="566">
        <f t="shared" si="26"/>
        <v>302848</v>
      </c>
    </row>
    <row r="65" spans="1:39" s="595" customFormat="1" ht="25.5">
      <c r="A65" s="568">
        <v>5</v>
      </c>
      <c r="B65" s="576" t="s">
        <v>793</v>
      </c>
      <c r="C65" s="573" t="s">
        <v>639</v>
      </c>
      <c r="D65" s="568">
        <v>1992</v>
      </c>
      <c r="E65" s="576" t="s">
        <v>669</v>
      </c>
      <c r="F65" s="570" t="s">
        <v>794</v>
      </c>
      <c r="G65" s="570">
        <v>1</v>
      </c>
      <c r="H65" s="568" t="s">
        <v>795</v>
      </c>
      <c r="I65" s="568">
        <v>3.31</v>
      </c>
      <c r="J65" s="568">
        <v>275392</v>
      </c>
      <c r="K65" s="568"/>
      <c r="L65" s="568"/>
      <c r="M65" s="566">
        <f t="shared" si="30"/>
        <v>275392</v>
      </c>
      <c r="N65" s="572">
        <v>1</v>
      </c>
      <c r="O65" s="568" t="s">
        <v>796</v>
      </c>
      <c r="P65" s="580">
        <v>3.21</v>
      </c>
      <c r="Q65" s="572">
        <v>267072</v>
      </c>
      <c r="R65" s="572">
        <v>0</v>
      </c>
      <c r="S65" s="572">
        <v>0</v>
      </c>
      <c r="T65" s="566">
        <f t="shared" si="31"/>
        <v>267072</v>
      </c>
      <c r="U65" s="566">
        <f t="shared" si="32"/>
        <v>0</v>
      </c>
      <c r="V65" s="566">
        <f t="shared" si="33"/>
        <v>8320</v>
      </c>
      <c r="W65" s="566">
        <f t="shared" si="33"/>
        <v>0</v>
      </c>
      <c r="X65" s="566">
        <f t="shared" si="33"/>
        <v>0</v>
      </c>
      <c r="Y65" s="566">
        <f t="shared" si="34"/>
        <v>8320</v>
      </c>
      <c r="Z65" s="568"/>
      <c r="AA65" s="568" t="s">
        <v>797</v>
      </c>
      <c r="AB65" s="568">
        <v>3.42</v>
      </c>
      <c r="AC65" s="568">
        <v>284544</v>
      </c>
      <c r="AD65" s="568"/>
      <c r="AE65" s="568"/>
      <c r="AF65" s="566">
        <f t="shared" si="35"/>
        <v>284544</v>
      </c>
      <c r="AG65" s="568"/>
      <c r="AH65" s="568" t="s">
        <v>798</v>
      </c>
      <c r="AI65" s="568">
        <v>3.53</v>
      </c>
      <c r="AJ65" s="568">
        <v>293696</v>
      </c>
      <c r="AK65" s="568"/>
      <c r="AL65" s="568"/>
      <c r="AM65" s="566">
        <f t="shared" si="26"/>
        <v>293696</v>
      </c>
    </row>
    <row r="66" spans="1:39" s="595" customFormat="1" ht="25.5">
      <c r="A66" s="568">
        <v>6</v>
      </c>
      <c r="B66" s="576" t="s">
        <v>799</v>
      </c>
      <c r="C66" s="573" t="s">
        <v>639</v>
      </c>
      <c r="D66" s="570">
        <v>1978</v>
      </c>
      <c r="E66" s="576" t="s">
        <v>695</v>
      </c>
      <c r="F66" s="570" t="s">
        <v>800</v>
      </c>
      <c r="G66" s="570">
        <v>1</v>
      </c>
      <c r="H66" s="568" t="s">
        <v>763</v>
      </c>
      <c r="I66" s="568">
        <v>2.75</v>
      </c>
      <c r="J66" s="568">
        <v>228800</v>
      </c>
      <c r="K66" s="568"/>
      <c r="L66" s="568"/>
      <c r="M66" s="566">
        <f t="shared" si="30"/>
        <v>228800</v>
      </c>
      <c r="N66" s="572">
        <v>1</v>
      </c>
      <c r="O66" s="572" t="s">
        <v>764</v>
      </c>
      <c r="P66" s="580">
        <v>2.66</v>
      </c>
      <c r="Q66" s="572">
        <v>221312</v>
      </c>
      <c r="R66" s="572">
        <v>0</v>
      </c>
      <c r="S66" s="572">
        <v>0</v>
      </c>
      <c r="T66" s="566">
        <f t="shared" si="31"/>
        <v>221312</v>
      </c>
      <c r="U66" s="566">
        <f t="shared" si="32"/>
        <v>0</v>
      </c>
      <c r="V66" s="566">
        <f>J66-Q66</f>
        <v>7488</v>
      </c>
      <c r="W66" s="566">
        <f>K66-R66</f>
        <v>0</v>
      </c>
      <c r="X66" s="566">
        <f>L66-S66</f>
        <v>0</v>
      </c>
      <c r="Y66" s="566">
        <f t="shared" si="34"/>
        <v>7488</v>
      </c>
      <c r="Z66" s="568"/>
      <c r="AA66" s="568" t="s">
        <v>765</v>
      </c>
      <c r="AB66" s="568">
        <v>2.83</v>
      </c>
      <c r="AC66" s="568">
        <v>235456</v>
      </c>
      <c r="AD66" s="568"/>
      <c r="AE66" s="568"/>
      <c r="AF66" s="566">
        <f t="shared" si="35"/>
        <v>235456</v>
      </c>
      <c r="AG66" s="568"/>
      <c r="AH66" s="568" t="s">
        <v>766</v>
      </c>
      <c r="AI66" s="568">
        <v>2.92</v>
      </c>
      <c r="AJ66" s="568">
        <v>242944</v>
      </c>
      <c r="AK66" s="568"/>
      <c r="AL66" s="568"/>
      <c r="AM66" s="566">
        <f t="shared" si="26"/>
        <v>242944</v>
      </c>
    </row>
    <row r="67" spans="1:39" s="595" customFormat="1" ht="25.5">
      <c r="A67" s="568">
        <v>7</v>
      </c>
      <c r="B67" s="576" t="s">
        <v>694</v>
      </c>
      <c r="C67" s="574"/>
      <c r="D67" s="568"/>
      <c r="E67" s="570" t="s">
        <v>695</v>
      </c>
      <c r="F67" s="570" t="s">
        <v>801</v>
      </c>
      <c r="G67" s="570">
        <v>1</v>
      </c>
      <c r="H67" s="568"/>
      <c r="I67" s="568"/>
      <c r="J67" s="568">
        <v>163072</v>
      </c>
      <c r="K67" s="568"/>
      <c r="L67" s="568"/>
      <c r="M67" s="566">
        <f t="shared" si="30"/>
        <v>163072</v>
      </c>
      <c r="N67" s="572">
        <v>1</v>
      </c>
      <c r="O67" s="572"/>
      <c r="P67" s="580">
        <v>1.96</v>
      </c>
      <c r="Q67" s="572">
        <v>163072</v>
      </c>
      <c r="R67" s="572">
        <v>0</v>
      </c>
      <c r="S67" s="572">
        <v>0</v>
      </c>
      <c r="T67" s="566">
        <f t="shared" si="31"/>
        <v>163072</v>
      </c>
      <c r="U67" s="566">
        <f t="shared" si="32"/>
        <v>0</v>
      </c>
      <c r="V67" s="566">
        <f t="shared" si="33"/>
        <v>0</v>
      </c>
      <c r="W67" s="566">
        <f t="shared" si="33"/>
        <v>0</v>
      </c>
      <c r="X67" s="566">
        <f t="shared" si="33"/>
        <v>0</v>
      </c>
      <c r="Y67" s="566">
        <f t="shared" si="34"/>
        <v>0</v>
      </c>
      <c r="Z67" s="568"/>
      <c r="AA67" s="568"/>
      <c r="AB67" s="568"/>
      <c r="AC67" s="568">
        <v>163072</v>
      </c>
      <c r="AD67" s="568"/>
      <c r="AE67" s="568"/>
      <c r="AF67" s="566">
        <f t="shared" si="35"/>
        <v>163072</v>
      </c>
      <c r="AG67" s="568"/>
      <c r="AH67" s="568"/>
      <c r="AI67" s="568"/>
      <c r="AJ67" s="568">
        <v>163072</v>
      </c>
      <c r="AK67" s="568"/>
      <c r="AL67" s="568"/>
      <c r="AM67" s="566">
        <f t="shared" si="26"/>
        <v>163072</v>
      </c>
    </row>
    <row r="68" spans="1:39" s="596" customFormat="1" ht="12.75">
      <c r="A68" s="564"/>
      <c r="B68" s="565" t="s">
        <v>120</v>
      </c>
      <c r="C68" s="565"/>
      <c r="D68" s="575" t="s">
        <v>1</v>
      </c>
      <c r="E68" s="575" t="s">
        <v>1</v>
      </c>
      <c r="F68" s="575" t="s">
        <v>1</v>
      </c>
      <c r="G68" s="575">
        <f>SUM(G61:G67)</f>
        <v>7</v>
      </c>
      <c r="H68" s="575" t="s">
        <v>1</v>
      </c>
      <c r="I68" s="575" t="s">
        <v>1</v>
      </c>
      <c r="J68" s="575">
        <f aca="true" t="shared" si="36" ref="J68:Y68">SUM(J61:J67)</f>
        <v>2050880</v>
      </c>
      <c r="K68" s="575">
        <f t="shared" si="36"/>
        <v>0</v>
      </c>
      <c r="L68" s="575">
        <f t="shared" si="36"/>
        <v>0</v>
      </c>
      <c r="M68" s="575">
        <f t="shared" si="36"/>
        <v>2050880</v>
      </c>
      <c r="N68" s="575">
        <f t="shared" si="36"/>
        <v>7</v>
      </c>
      <c r="O68" s="575" t="s">
        <v>1</v>
      </c>
      <c r="P68" s="575" t="s">
        <v>1</v>
      </c>
      <c r="Q68" s="581">
        <f t="shared" si="36"/>
        <v>2012608</v>
      </c>
      <c r="R68" s="575">
        <f t="shared" si="36"/>
        <v>0</v>
      </c>
      <c r="S68" s="575">
        <f t="shared" si="36"/>
        <v>0</v>
      </c>
      <c r="T68" s="575">
        <f t="shared" si="36"/>
        <v>2012608</v>
      </c>
      <c r="U68" s="575">
        <f t="shared" si="36"/>
        <v>0</v>
      </c>
      <c r="V68" s="575">
        <f t="shared" si="36"/>
        <v>38272</v>
      </c>
      <c r="W68" s="575">
        <f t="shared" si="36"/>
        <v>0</v>
      </c>
      <c r="X68" s="575">
        <f t="shared" si="36"/>
        <v>0</v>
      </c>
      <c r="Y68" s="575">
        <f t="shared" si="36"/>
        <v>38272</v>
      </c>
      <c r="Z68" s="575">
        <f>SUM(Z64:Z67)</f>
        <v>0</v>
      </c>
      <c r="AA68" s="575" t="s">
        <v>1</v>
      </c>
      <c r="AB68" s="575" t="s">
        <v>1</v>
      </c>
      <c r="AC68" s="575">
        <f>SUM(AC61:AC67)</f>
        <v>2075840</v>
      </c>
      <c r="AD68" s="575">
        <f>SUM(AD61:AD67)</f>
        <v>0</v>
      </c>
      <c r="AE68" s="575">
        <f>SUM(AE61:AE67)</f>
        <v>0</v>
      </c>
      <c r="AF68" s="575">
        <f>SUM(AF61:AF67)</f>
        <v>2075840</v>
      </c>
      <c r="AG68" s="575">
        <f>SUM(AG61:AG67)</f>
        <v>0</v>
      </c>
      <c r="AH68" s="575" t="s">
        <v>1</v>
      </c>
      <c r="AI68" s="575" t="s">
        <v>1</v>
      </c>
      <c r="AJ68" s="575">
        <f>SUM(AJ61:AJ67)</f>
        <v>2101632</v>
      </c>
      <c r="AK68" s="575">
        <f>SUM(AK61:AK67)</f>
        <v>0</v>
      </c>
      <c r="AL68" s="575">
        <f>SUM(AL61:AL67)</f>
        <v>0</v>
      </c>
      <c r="AM68" s="566">
        <f t="shared" si="26"/>
        <v>2101632</v>
      </c>
    </row>
    <row r="69" spans="1:39" s="595" customFormat="1" ht="12.75">
      <c r="A69" s="568"/>
      <c r="B69" s="574" t="s">
        <v>603</v>
      </c>
      <c r="C69" s="569"/>
      <c r="D69" s="566"/>
      <c r="E69" s="566"/>
      <c r="F69" s="566"/>
      <c r="G69" s="568"/>
      <c r="H69" s="566"/>
      <c r="I69" s="566"/>
      <c r="J69" s="568"/>
      <c r="K69" s="568"/>
      <c r="L69" s="568"/>
      <c r="M69" s="568"/>
      <c r="N69" s="568"/>
      <c r="O69" s="566"/>
      <c r="P69" s="566"/>
      <c r="Q69" s="579"/>
      <c r="R69" s="579"/>
      <c r="S69" s="579"/>
      <c r="T69" s="579"/>
      <c r="U69" s="568"/>
      <c r="V69" s="568"/>
      <c r="W69" s="568"/>
      <c r="X69" s="568"/>
      <c r="Y69" s="568"/>
      <c r="Z69" s="568"/>
      <c r="AA69" s="566"/>
      <c r="AB69" s="566"/>
      <c r="AC69" s="568"/>
      <c r="AD69" s="568"/>
      <c r="AE69" s="568"/>
      <c r="AF69" s="568"/>
      <c r="AG69" s="568"/>
      <c r="AH69" s="566"/>
      <c r="AI69" s="566"/>
      <c r="AJ69" s="568"/>
      <c r="AK69" s="568"/>
      <c r="AL69" s="568"/>
      <c r="AM69" s="566">
        <f t="shared" si="26"/>
        <v>0</v>
      </c>
    </row>
    <row r="70" spans="1:39" s="595" customFormat="1" ht="25.5">
      <c r="A70" s="568">
        <v>1</v>
      </c>
      <c r="B70" s="576" t="s">
        <v>802</v>
      </c>
      <c r="C70" s="573" t="s">
        <v>639</v>
      </c>
      <c r="D70" s="570">
        <v>1980</v>
      </c>
      <c r="E70" s="576" t="s">
        <v>662</v>
      </c>
      <c r="F70" s="570" t="s">
        <v>803</v>
      </c>
      <c r="G70" s="570">
        <v>1</v>
      </c>
      <c r="H70" s="568" t="s">
        <v>804</v>
      </c>
      <c r="I70" s="580">
        <v>5.01</v>
      </c>
      <c r="J70" s="572">
        <v>416832</v>
      </c>
      <c r="K70" s="568"/>
      <c r="L70" s="572">
        <v>20841.6</v>
      </c>
      <c r="M70" s="566">
        <f>J70+K70+L70</f>
        <v>437673.6</v>
      </c>
      <c r="N70" s="568">
        <v>1</v>
      </c>
      <c r="O70" s="572" t="s">
        <v>805</v>
      </c>
      <c r="P70" s="580">
        <v>5.01</v>
      </c>
      <c r="Q70" s="572">
        <v>416832</v>
      </c>
      <c r="R70" s="572">
        <v>0</v>
      </c>
      <c r="S70" s="572">
        <v>20841.6</v>
      </c>
      <c r="T70" s="572">
        <v>437674</v>
      </c>
      <c r="U70" s="582">
        <f>+G70-N70</f>
        <v>0</v>
      </c>
      <c r="V70" s="566">
        <f aca="true" t="shared" si="37" ref="V70:X72">J70-Q70</f>
        <v>0</v>
      </c>
      <c r="W70" s="566">
        <f t="shared" si="37"/>
        <v>0</v>
      </c>
      <c r="X70" s="566">
        <f t="shared" si="37"/>
        <v>0</v>
      </c>
      <c r="Y70" s="566">
        <f>V70+W70+X70</f>
        <v>0</v>
      </c>
      <c r="Z70" s="580"/>
      <c r="AA70" s="572" t="s">
        <v>806</v>
      </c>
      <c r="AB70" s="580">
        <v>5.01</v>
      </c>
      <c r="AC70" s="572">
        <v>416832</v>
      </c>
      <c r="AD70" s="568"/>
      <c r="AE70" s="572">
        <v>20841.6</v>
      </c>
      <c r="AF70" s="566">
        <f>AC70+AD70+AE70</f>
        <v>437673.6</v>
      </c>
      <c r="AG70" s="568"/>
      <c r="AH70" s="568" t="s">
        <v>807</v>
      </c>
      <c r="AI70" s="568">
        <v>5.17</v>
      </c>
      <c r="AJ70" s="568">
        <v>437674</v>
      </c>
      <c r="AK70" s="568"/>
      <c r="AL70" s="572">
        <v>20841.6</v>
      </c>
      <c r="AM70" s="566">
        <f t="shared" si="26"/>
        <v>458515.6</v>
      </c>
    </row>
    <row r="71" spans="1:39" s="595" customFormat="1" ht="25.5">
      <c r="A71" s="568">
        <v>2</v>
      </c>
      <c r="B71" s="576" t="s">
        <v>808</v>
      </c>
      <c r="C71" s="573" t="s">
        <v>639</v>
      </c>
      <c r="D71" s="570">
        <v>1990</v>
      </c>
      <c r="E71" s="576" t="s">
        <v>669</v>
      </c>
      <c r="F71" s="570" t="s">
        <v>809</v>
      </c>
      <c r="G71" s="570">
        <v>1</v>
      </c>
      <c r="H71" s="568" t="s">
        <v>810</v>
      </c>
      <c r="I71" s="568">
        <v>3.31</v>
      </c>
      <c r="J71" s="568">
        <v>275392</v>
      </c>
      <c r="K71" s="568"/>
      <c r="L71" s="568"/>
      <c r="M71" s="566">
        <f>J71+K71+L71</f>
        <v>275392</v>
      </c>
      <c r="N71" s="568">
        <v>1</v>
      </c>
      <c r="O71" s="572" t="s">
        <v>811</v>
      </c>
      <c r="P71" s="580">
        <v>3.21</v>
      </c>
      <c r="Q71" s="572">
        <v>267072</v>
      </c>
      <c r="R71" s="572">
        <v>0</v>
      </c>
      <c r="S71" s="572"/>
      <c r="T71" s="572">
        <v>267072</v>
      </c>
      <c r="U71" s="582">
        <f>+G71-N71</f>
        <v>0</v>
      </c>
      <c r="V71" s="566">
        <f t="shared" si="37"/>
        <v>8320</v>
      </c>
      <c r="W71" s="566">
        <f t="shared" si="37"/>
        <v>0</v>
      </c>
      <c r="X71" s="566">
        <f t="shared" si="37"/>
        <v>0</v>
      </c>
      <c r="Y71" s="566">
        <f>V71+W71+X71</f>
        <v>8320</v>
      </c>
      <c r="Z71" s="568"/>
      <c r="AA71" s="568" t="s">
        <v>812</v>
      </c>
      <c r="AB71" s="568">
        <v>3.42</v>
      </c>
      <c r="AC71" s="568">
        <v>284544</v>
      </c>
      <c r="AD71" s="568"/>
      <c r="AE71" s="568"/>
      <c r="AF71" s="566">
        <f>AC71+AD71+AE71</f>
        <v>284544</v>
      </c>
      <c r="AG71" s="568"/>
      <c r="AH71" s="568" t="s">
        <v>813</v>
      </c>
      <c r="AI71" s="568">
        <v>3.53</v>
      </c>
      <c r="AJ71" s="568">
        <v>293696</v>
      </c>
      <c r="AK71" s="568"/>
      <c r="AL71" s="568"/>
      <c r="AM71" s="566">
        <f t="shared" si="26"/>
        <v>293696</v>
      </c>
    </row>
    <row r="72" spans="1:39" s="595" customFormat="1" ht="25.5">
      <c r="A72" s="568">
        <v>3</v>
      </c>
      <c r="B72" s="576" t="s">
        <v>814</v>
      </c>
      <c r="C72" s="573" t="s">
        <v>639</v>
      </c>
      <c r="D72" s="568">
        <v>1989</v>
      </c>
      <c r="E72" s="576" t="s">
        <v>695</v>
      </c>
      <c r="F72" s="570" t="s">
        <v>815</v>
      </c>
      <c r="G72" s="570">
        <v>1</v>
      </c>
      <c r="H72" s="572" t="s">
        <v>816</v>
      </c>
      <c r="I72" s="568">
        <v>2.75</v>
      </c>
      <c r="J72" s="568">
        <v>228800</v>
      </c>
      <c r="K72" s="568"/>
      <c r="L72" s="568"/>
      <c r="M72" s="566">
        <f>J72+K72+L72</f>
        <v>228800</v>
      </c>
      <c r="N72" s="568">
        <v>1</v>
      </c>
      <c r="O72" s="572" t="s">
        <v>817</v>
      </c>
      <c r="P72" s="580">
        <v>2.66</v>
      </c>
      <c r="Q72" s="572">
        <v>221312</v>
      </c>
      <c r="R72" s="572">
        <v>0</v>
      </c>
      <c r="S72" s="572">
        <v>0</v>
      </c>
      <c r="T72" s="572">
        <v>221312</v>
      </c>
      <c r="U72" s="582">
        <f>+G72-N72</f>
        <v>0</v>
      </c>
      <c r="V72" s="566">
        <f t="shared" si="37"/>
        <v>7488</v>
      </c>
      <c r="W72" s="566">
        <f t="shared" si="37"/>
        <v>0</v>
      </c>
      <c r="X72" s="566">
        <f t="shared" si="37"/>
        <v>0</v>
      </c>
      <c r="Y72" s="566">
        <f>V72+W72+X72</f>
        <v>7488</v>
      </c>
      <c r="Z72" s="568"/>
      <c r="AA72" s="572" t="s">
        <v>678</v>
      </c>
      <c r="AB72" s="568">
        <v>2.83</v>
      </c>
      <c r="AC72" s="568">
        <v>235456</v>
      </c>
      <c r="AD72" s="568"/>
      <c r="AE72" s="568"/>
      <c r="AF72" s="566">
        <f>AC72+AD72+AE72</f>
        <v>235456</v>
      </c>
      <c r="AG72" s="568"/>
      <c r="AH72" s="572" t="s">
        <v>677</v>
      </c>
      <c r="AI72" s="568">
        <v>2.92</v>
      </c>
      <c r="AJ72" s="568">
        <v>242944</v>
      </c>
      <c r="AK72" s="568"/>
      <c r="AL72" s="568"/>
      <c r="AM72" s="566">
        <f t="shared" si="26"/>
        <v>242944</v>
      </c>
    </row>
    <row r="73" spans="1:39" s="596" customFormat="1" ht="12.75">
      <c r="A73" s="564"/>
      <c r="B73" s="565" t="s">
        <v>120</v>
      </c>
      <c r="C73" s="565"/>
      <c r="D73" s="575" t="s">
        <v>1</v>
      </c>
      <c r="E73" s="575" t="s">
        <v>1</v>
      </c>
      <c r="F73" s="575" t="s">
        <v>1</v>
      </c>
      <c r="G73" s="575">
        <f>SUM(G70:G72)</f>
        <v>3</v>
      </c>
      <c r="H73" s="575" t="s">
        <v>1</v>
      </c>
      <c r="I73" s="575" t="s">
        <v>1</v>
      </c>
      <c r="J73" s="575">
        <f>SUM(J70:J72)</f>
        <v>921024</v>
      </c>
      <c r="K73" s="575">
        <f>SUM(K70:K72)</f>
        <v>0</v>
      </c>
      <c r="L73" s="575">
        <f>SUM(L70:L72)</f>
        <v>20841.6</v>
      </c>
      <c r="M73" s="575">
        <f>SUM(M70:M72)</f>
        <v>941865.6</v>
      </c>
      <c r="N73" s="575">
        <f>SUM(N70:N72)</f>
        <v>3</v>
      </c>
      <c r="O73" s="575" t="s">
        <v>1</v>
      </c>
      <c r="P73" s="575" t="s">
        <v>1</v>
      </c>
      <c r="Q73" s="581">
        <f aca="true" t="shared" si="38" ref="Q73:Y73">SUM(Q70:Q72)</f>
        <v>905216</v>
      </c>
      <c r="R73" s="581">
        <f t="shared" si="38"/>
        <v>0</v>
      </c>
      <c r="S73" s="581">
        <f t="shared" si="38"/>
        <v>20841.6</v>
      </c>
      <c r="T73" s="581">
        <f t="shared" si="38"/>
        <v>926058</v>
      </c>
      <c r="U73" s="575">
        <f t="shared" si="38"/>
        <v>0</v>
      </c>
      <c r="V73" s="575">
        <f>SUM(V70:V72)</f>
        <v>15808</v>
      </c>
      <c r="W73" s="575">
        <f t="shared" si="38"/>
        <v>0</v>
      </c>
      <c r="X73" s="575">
        <f t="shared" si="38"/>
        <v>0</v>
      </c>
      <c r="Y73" s="575">
        <f t="shared" si="38"/>
        <v>15808</v>
      </c>
      <c r="Z73" s="575">
        <f>SUM(Z70:Z72)</f>
        <v>0</v>
      </c>
      <c r="AA73" s="575" t="s">
        <v>1</v>
      </c>
      <c r="AB73" s="575" t="s">
        <v>1</v>
      </c>
      <c r="AC73" s="575">
        <f>SUM(AC70:AC72)</f>
        <v>936832</v>
      </c>
      <c r="AD73" s="575">
        <f>SUM(AD70:AD72)</f>
        <v>0</v>
      </c>
      <c r="AE73" s="575">
        <f>SUM(AE70:AE72)</f>
        <v>20841.6</v>
      </c>
      <c r="AF73" s="575">
        <f>SUM(AF70:AF72)</f>
        <v>957673.6</v>
      </c>
      <c r="AG73" s="575">
        <f>SUM(AG70:AG72)</f>
        <v>0</v>
      </c>
      <c r="AH73" s="575" t="s">
        <v>1</v>
      </c>
      <c r="AI73" s="575" t="s">
        <v>1</v>
      </c>
      <c r="AJ73" s="575">
        <f>SUM(AJ70:AJ72)</f>
        <v>974314</v>
      </c>
      <c r="AK73" s="575">
        <f>SUM(AK70:AK72)</f>
        <v>0</v>
      </c>
      <c r="AL73" s="575">
        <f>SUM(AL70:AL72)</f>
        <v>20841.6</v>
      </c>
      <c r="AM73" s="566">
        <f t="shared" si="26"/>
        <v>995155.6</v>
      </c>
    </row>
    <row r="74" spans="1:39" s="595" customFormat="1" ht="12.75">
      <c r="A74" s="568"/>
      <c r="B74" s="574" t="s">
        <v>602</v>
      </c>
      <c r="C74" s="569"/>
      <c r="D74" s="566"/>
      <c r="E74" s="566"/>
      <c r="F74" s="566"/>
      <c r="G74" s="568"/>
      <c r="H74" s="566"/>
      <c r="I74" s="566"/>
      <c r="J74" s="568"/>
      <c r="K74" s="568"/>
      <c r="L74" s="568"/>
      <c r="M74" s="568"/>
      <c r="N74" s="568"/>
      <c r="O74" s="566"/>
      <c r="P74" s="566"/>
      <c r="Q74" s="579"/>
      <c r="R74" s="568"/>
      <c r="S74" s="568"/>
      <c r="T74" s="568"/>
      <c r="U74" s="568"/>
      <c r="V74" s="568"/>
      <c r="W74" s="568"/>
      <c r="X74" s="568"/>
      <c r="Y74" s="568"/>
      <c r="Z74" s="568"/>
      <c r="AA74" s="566"/>
      <c r="AB74" s="566"/>
      <c r="AC74" s="568"/>
      <c r="AD74" s="568"/>
      <c r="AE74" s="568"/>
      <c r="AF74" s="568"/>
      <c r="AG74" s="568"/>
      <c r="AH74" s="566"/>
      <c r="AI74" s="566"/>
      <c r="AJ74" s="568"/>
      <c r="AK74" s="568"/>
      <c r="AL74" s="568"/>
      <c r="AM74" s="566">
        <f t="shared" si="26"/>
        <v>0</v>
      </c>
    </row>
    <row r="75" spans="1:39" s="595" customFormat="1" ht="25.5">
      <c r="A75" s="568">
        <v>1</v>
      </c>
      <c r="B75" s="576" t="s">
        <v>818</v>
      </c>
      <c r="C75" s="573" t="s">
        <v>613</v>
      </c>
      <c r="D75" s="570">
        <v>1959</v>
      </c>
      <c r="E75" s="576" t="s">
        <v>662</v>
      </c>
      <c r="F75" s="570" t="s">
        <v>819</v>
      </c>
      <c r="G75" s="568">
        <v>1</v>
      </c>
      <c r="H75" s="568" t="s">
        <v>820</v>
      </c>
      <c r="I75" s="580">
        <v>5.34</v>
      </c>
      <c r="J75" s="572">
        <v>444288</v>
      </c>
      <c r="K75" s="568"/>
      <c r="L75" s="568"/>
      <c r="M75" s="566">
        <f>J75+K75+L75</f>
        <v>444288</v>
      </c>
      <c r="N75" s="568">
        <v>1</v>
      </c>
      <c r="O75" s="568" t="s">
        <v>821</v>
      </c>
      <c r="P75" s="580">
        <v>5.34</v>
      </c>
      <c r="Q75" s="572">
        <v>444288</v>
      </c>
      <c r="R75" s="572">
        <v>0</v>
      </c>
      <c r="S75" s="572">
        <v>0</v>
      </c>
      <c r="T75" s="566">
        <f>Q75+R75+S75</f>
        <v>444288</v>
      </c>
      <c r="U75" s="566">
        <f>+G75-N75</f>
        <v>0</v>
      </c>
      <c r="V75" s="566">
        <f aca="true" t="shared" si="39" ref="V75:X78">J75-Q75</f>
        <v>0</v>
      </c>
      <c r="W75" s="566">
        <f t="shared" si="39"/>
        <v>0</v>
      </c>
      <c r="X75" s="566">
        <f t="shared" si="39"/>
        <v>0</v>
      </c>
      <c r="Y75" s="566">
        <f>V75+W75+X75</f>
        <v>0</v>
      </c>
      <c r="Z75" s="568"/>
      <c r="AA75" s="568" t="s">
        <v>822</v>
      </c>
      <c r="AB75" s="580">
        <v>5.34</v>
      </c>
      <c r="AC75" s="572">
        <v>444288</v>
      </c>
      <c r="AD75" s="568"/>
      <c r="AE75" s="568"/>
      <c r="AF75" s="566">
        <f>AC75+AD75+AE75</f>
        <v>444288</v>
      </c>
      <c r="AG75" s="568"/>
      <c r="AH75" s="568" t="s">
        <v>823</v>
      </c>
      <c r="AI75" s="580">
        <v>5.34</v>
      </c>
      <c r="AJ75" s="572">
        <v>444288</v>
      </c>
      <c r="AK75" s="568"/>
      <c r="AL75" s="568"/>
      <c r="AM75" s="566">
        <f t="shared" si="26"/>
        <v>444288</v>
      </c>
    </row>
    <row r="76" spans="1:39" s="595" customFormat="1" ht="25.5">
      <c r="A76" s="568">
        <v>2</v>
      </c>
      <c r="B76" s="576" t="s">
        <v>824</v>
      </c>
      <c r="C76" s="573" t="s">
        <v>613</v>
      </c>
      <c r="D76" s="570">
        <v>1962</v>
      </c>
      <c r="E76" s="576" t="s">
        <v>669</v>
      </c>
      <c r="F76" s="570" t="s">
        <v>825</v>
      </c>
      <c r="G76" s="568">
        <v>1</v>
      </c>
      <c r="H76" s="568" t="s">
        <v>710</v>
      </c>
      <c r="I76" s="580">
        <v>4.4</v>
      </c>
      <c r="J76" s="572">
        <v>366080</v>
      </c>
      <c r="K76" s="568"/>
      <c r="L76" s="568"/>
      <c r="M76" s="566">
        <f>J76+K76+L76</f>
        <v>366080</v>
      </c>
      <c r="N76" s="568">
        <v>1</v>
      </c>
      <c r="O76" s="568" t="s">
        <v>711</v>
      </c>
      <c r="P76" s="580">
        <v>4.4</v>
      </c>
      <c r="Q76" s="572">
        <v>366080</v>
      </c>
      <c r="R76" s="572">
        <v>0</v>
      </c>
      <c r="S76" s="572">
        <v>0</v>
      </c>
      <c r="T76" s="566">
        <f>Q76+R76+S76</f>
        <v>366080</v>
      </c>
      <c r="U76" s="566">
        <f>+G76-N76</f>
        <v>0</v>
      </c>
      <c r="V76" s="566">
        <f t="shared" si="39"/>
        <v>0</v>
      </c>
      <c r="W76" s="566">
        <f t="shared" si="39"/>
        <v>0</v>
      </c>
      <c r="X76" s="566">
        <f t="shared" si="39"/>
        <v>0</v>
      </c>
      <c r="Y76" s="566">
        <f>V76+W76+X76</f>
        <v>0</v>
      </c>
      <c r="Z76" s="568"/>
      <c r="AA76" s="568" t="s">
        <v>712</v>
      </c>
      <c r="AB76" s="580">
        <v>4.4</v>
      </c>
      <c r="AC76" s="572">
        <v>366080</v>
      </c>
      <c r="AD76" s="568"/>
      <c r="AE76" s="568"/>
      <c r="AF76" s="566">
        <f>AC76+AD76+AE76</f>
        <v>366080</v>
      </c>
      <c r="AG76" s="568"/>
      <c r="AH76" s="568" t="s">
        <v>713</v>
      </c>
      <c r="AI76" s="580">
        <v>4.4</v>
      </c>
      <c r="AJ76" s="572">
        <v>366080</v>
      </c>
      <c r="AK76" s="568"/>
      <c r="AL76" s="568"/>
      <c r="AM76" s="566">
        <f t="shared" si="26"/>
        <v>366080</v>
      </c>
    </row>
    <row r="77" spans="1:39" s="595" customFormat="1" ht="25.5">
      <c r="A77" s="568">
        <v>3</v>
      </c>
      <c r="B77" s="576" t="s">
        <v>826</v>
      </c>
      <c r="C77" s="573" t="s">
        <v>613</v>
      </c>
      <c r="D77" s="570">
        <v>1958</v>
      </c>
      <c r="E77" s="576" t="s">
        <v>669</v>
      </c>
      <c r="F77" s="570" t="s">
        <v>827</v>
      </c>
      <c r="G77" s="568">
        <v>1</v>
      </c>
      <c r="H77" s="568" t="s">
        <v>769</v>
      </c>
      <c r="I77" s="580">
        <v>4.4</v>
      </c>
      <c r="J77" s="572">
        <v>366080</v>
      </c>
      <c r="K77" s="568"/>
      <c r="L77" s="568"/>
      <c r="M77" s="566">
        <f>J77+K77+L77</f>
        <v>366080</v>
      </c>
      <c r="N77" s="568">
        <v>1</v>
      </c>
      <c r="O77" s="568" t="s">
        <v>770</v>
      </c>
      <c r="P77" s="580">
        <v>4.4</v>
      </c>
      <c r="Q77" s="572">
        <v>366080</v>
      </c>
      <c r="R77" s="572">
        <v>0</v>
      </c>
      <c r="S77" s="572">
        <v>0</v>
      </c>
      <c r="T77" s="566">
        <f>Q77+R77+S77</f>
        <v>366080</v>
      </c>
      <c r="U77" s="566">
        <f>+G77-N77</f>
        <v>0</v>
      </c>
      <c r="V77" s="566">
        <f t="shared" si="39"/>
        <v>0</v>
      </c>
      <c r="W77" s="566">
        <f t="shared" si="39"/>
        <v>0</v>
      </c>
      <c r="X77" s="566">
        <f t="shared" si="39"/>
        <v>0</v>
      </c>
      <c r="Y77" s="566">
        <f>V77+W77+X77</f>
        <v>0</v>
      </c>
      <c r="Z77" s="568"/>
      <c r="AA77" s="568" t="s">
        <v>771</v>
      </c>
      <c r="AB77" s="580">
        <v>4.4</v>
      </c>
      <c r="AC77" s="572">
        <v>366080</v>
      </c>
      <c r="AD77" s="568"/>
      <c r="AE77" s="568"/>
      <c r="AF77" s="566">
        <f>AC77+AD77+AE77</f>
        <v>366080</v>
      </c>
      <c r="AG77" s="568"/>
      <c r="AH77" s="568" t="s">
        <v>772</v>
      </c>
      <c r="AI77" s="580">
        <v>4.4</v>
      </c>
      <c r="AJ77" s="572">
        <v>366080</v>
      </c>
      <c r="AK77" s="568"/>
      <c r="AL77" s="568"/>
      <c r="AM77" s="566">
        <f t="shared" si="26"/>
        <v>366080</v>
      </c>
    </row>
    <row r="78" spans="1:39" s="595" customFormat="1" ht="25.5">
      <c r="A78" s="568">
        <v>4</v>
      </c>
      <c r="B78" s="576" t="s">
        <v>828</v>
      </c>
      <c r="C78" s="573" t="s">
        <v>639</v>
      </c>
      <c r="D78" s="570">
        <v>1961</v>
      </c>
      <c r="E78" s="576" t="s">
        <v>669</v>
      </c>
      <c r="F78" s="570" t="s">
        <v>829</v>
      </c>
      <c r="G78" s="568">
        <v>1</v>
      </c>
      <c r="H78" s="568" t="s">
        <v>830</v>
      </c>
      <c r="I78" s="580">
        <v>4.4</v>
      </c>
      <c r="J78" s="572">
        <v>366080</v>
      </c>
      <c r="K78" s="568"/>
      <c r="L78" s="568"/>
      <c r="M78" s="566">
        <f>J78+K78+L78</f>
        <v>366080</v>
      </c>
      <c r="N78" s="568">
        <v>1</v>
      </c>
      <c r="O78" s="568" t="s">
        <v>831</v>
      </c>
      <c r="P78" s="580">
        <v>4.4</v>
      </c>
      <c r="Q78" s="572">
        <v>366080</v>
      </c>
      <c r="R78" s="572">
        <v>0</v>
      </c>
      <c r="S78" s="572">
        <v>0</v>
      </c>
      <c r="T78" s="566">
        <f>Q78+R78+S78</f>
        <v>366080</v>
      </c>
      <c r="U78" s="566">
        <f>+G78-N78</f>
        <v>0</v>
      </c>
      <c r="V78" s="566">
        <f t="shared" si="39"/>
        <v>0</v>
      </c>
      <c r="W78" s="566">
        <f t="shared" si="39"/>
        <v>0</v>
      </c>
      <c r="X78" s="566">
        <f t="shared" si="39"/>
        <v>0</v>
      </c>
      <c r="Y78" s="566">
        <f>V78+W78+X78</f>
        <v>0</v>
      </c>
      <c r="Z78" s="568"/>
      <c r="AA78" s="568" t="s">
        <v>832</v>
      </c>
      <c r="AB78" s="580">
        <v>4.4</v>
      </c>
      <c r="AC78" s="572">
        <v>366080</v>
      </c>
      <c r="AD78" s="568"/>
      <c r="AE78" s="568"/>
      <c r="AF78" s="566">
        <f>AC78+AD78+AE78</f>
        <v>366080</v>
      </c>
      <c r="AG78" s="568"/>
      <c r="AH78" s="568" t="s">
        <v>833</v>
      </c>
      <c r="AI78" s="580">
        <v>4.4</v>
      </c>
      <c r="AJ78" s="572">
        <v>366080</v>
      </c>
      <c r="AK78" s="568"/>
      <c r="AL78" s="568"/>
      <c r="AM78" s="566">
        <f t="shared" si="26"/>
        <v>366080</v>
      </c>
    </row>
    <row r="79" spans="1:39" s="596" customFormat="1" ht="12.75">
      <c r="A79" s="564"/>
      <c r="B79" s="565" t="s">
        <v>120</v>
      </c>
      <c r="C79" s="565"/>
      <c r="D79" s="575" t="s">
        <v>1</v>
      </c>
      <c r="E79" s="575" t="s">
        <v>1</v>
      </c>
      <c r="F79" s="575" t="s">
        <v>1</v>
      </c>
      <c r="G79" s="575">
        <f>SUM(G75:G78)</f>
        <v>4</v>
      </c>
      <c r="H79" s="575" t="s">
        <v>1</v>
      </c>
      <c r="I79" s="575" t="s">
        <v>1</v>
      </c>
      <c r="J79" s="575">
        <f>SUM(J75:J78)</f>
        <v>1542528</v>
      </c>
      <c r="K79" s="575">
        <f>SUM(K75:K78)</f>
        <v>0</v>
      </c>
      <c r="L79" s="575">
        <f>SUM(L75:L78)</f>
        <v>0</v>
      </c>
      <c r="M79" s="575">
        <f>SUM(M75:M78)</f>
        <v>1542528</v>
      </c>
      <c r="N79" s="575">
        <f>SUM(N75:N78)</f>
        <v>4</v>
      </c>
      <c r="O79" s="575" t="s">
        <v>1</v>
      </c>
      <c r="P79" s="575" t="s">
        <v>1</v>
      </c>
      <c r="Q79" s="581">
        <f aca="true" t="shared" si="40" ref="Q79:Y79">SUM(Q75:Q78)</f>
        <v>1542528</v>
      </c>
      <c r="R79" s="575">
        <f t="shared" si="40"/>
        <v>0</v>
      </c>
      <c r="S79" s="575">
        <f t="shared" si="40"/>
        <v>0</v>
      </c>
      <c r="T79" s="575">
        <f t="shared" si="40"/>
        <v>1542528</v>
      </c>
      <c r="U79" s="575">
        <f t="shared" si="40"/>
        <v>0</v>
      </c>
      <c r="V79" s="575">
        <f t="shared" si="40"/>
        <v>0</v>
      </c>
      <c r="W79" s="575">
        <f t="shared" si="40"/>
        <v>0</v>
      </c>
      <c r="X79" s="575">
        <f t="shared" si="40"/>
        <v>0</v>
      </c>
      <c r="Y79" s="575">
        <f t="shared" si="40"/>
        <v>0</v>
      </c>
      <c r="Z79" s="575">
        <f>SUM(Z75:Z78)</f>
        <v>0</v>
      </c>
      <c r="AA79" s="575" t="s">
        <v>1</v>
      </c>
      <c r="AB79" s="575" t="s">
        <v>1</v>
      </c>
      <c r="AC79" s="575">
        <f>SUM(AC75:AC78)</f>
        <v>1542528</v>
      </c>
      <c r="AD79" s="575">
        <f>SUM(AD75:AD78)</f>
        <v>0</v>
      </c>
      <c r="AE79" s="575">
        <f>SUM(AE75:AE78)</f>
        <v>0</v>
      </c>
      <c r="AF79" s="575">
        <f>SUM(AF75:AF78)</f>
        <v>1542528</v>
      </c>
      <c r="AG79" s="575">
        <f>SUM(AG75:AG78)</f>
        <v>0</v>
      </c>
      <c r="AH79" s="575" t="s">
        <v>1</v>
      </c>
      <c r="AI79" s="575" t="s">
        <v>1</v>
      </c>
      <c r="AJ79" s="575">
        <f>SUM(AJ75:AJ78)</f>
        <v>1542528</v>
      </c>
      <c r="AK79" s="575">
        <f>SUM(AK75:AK78)</f>
        <v>0</v>
      </c>
      <c r="AL79" s="575">
        <f>SUM(AL75:AL78)</f>
        <v>0</v>
      </c>
      <c r="AM79" s="566">
        <f t="shared" si="26"/>
        <v>1542528</v>
      </c>
    </row>
    <row r="80" spans="1:39" s="595" customFormat="1" ht="12.75">
      <c r="A80" s="568"/>
      <c r="B80" s="574" t="s">
        <v>604</v>
      </c>
      <c r="C80" s="569"/>
      <c r="D80" s="570"/>
      <c r="E80" s="576"/>
      <c r="F80" s="570"/>
      <c r="G80" s="568"/>
      <c r="H80" s="566"/>
      <c r="I80" s="566"/>
      <c r="J80" s="568"/>
      <c r="K80" s="568"/>
      <c r="L80" s="568"/>
      <c r="M80" s="568"/>
      <c r="N80" s="568"/>
      <c r="O80" s="566"/>
      <c r="P80" s="566"/>
      <c r="Q80" s="579"/>
      <c r="R80" s="568"/>
      <c r="S80" s="568"/>
      <c r="T80" s="568"/>
      <c r="U80" s="568"/>
      <c r="V80" s="568"/>
      <c r="W80" s="568"/>
      <c r="X80" s="568"/>
      <c r="Y80" s="568"/>
      <c r="Z80" s="568"/>
      <c r="AA80" s="566"/>
      <c r="AB80" s="566"/>
      <c r="AC80" s="568"/>
      <c r="AD80" s="568"/>
      <c r="AE80" s="568"/>
      <c r="AF80" s="568"/>
      <c r="AG80" s="568"/>
      <c r="AH80" s="566"/>
      <c r="AI80" s="566"/>
      <c r="AJ80" s="568"/>
      <c r="AK80" s="568"/>
      <c r="AL80" s="568"/>
      <c r="AM80" s="566">
        <f t="shared" si="26"/>
        <v>0</v>
      </c>
    </row>
    <row r="81" spans="1:39" s="595" customFormat="1" ht="25.5">
      <c r="A81" s="568">
        <v>1</v>
      </c>
      <c r="B81" s="576" t="s">
        <v>834</v>
      </c>
      <c r="C81" s="573" t="s">
        <v>613</v>
      </c>
      <c r="D81" s="570">
        <v>1983</v>
      </c>
      <c r="E81" s="576" t="s">
        <v>662</v>
      </c>
      <c r="F81" s="570" t="s">
        <v>835</v>
      </c>
      <c r="G81" s="568">
        <v>1</v>
      </c>
      <c r="H81" s="568" t="s">
        <v>701</v>
      </c>
      <c r="I81" s="580">
        <v>4.7</v>
      </c>
      <c r="J81" s="572">
        <v>391040</v>
      </c>
      <c r="K81" s="568"/>
      <c r="L81" s="568"/>
      <c r="M81" s="566">
        <f>J81+K81+L81</f>
        <v>391040</v>
      </c>
      <c r="N81" s="568">
        <v>1</v>
      </c>
      <c r="O81" s="583" t="s">
        <v>836</v>
      </c>
      <c r="P81" s="580">
        <v>4.7</v>
      </c>
      <c r="Q81" s="572">
        <v>391040</v>
      </c>
      <c r="R81" s="572">
        <v>0</v>
      </c>
      <c r="S81" s="572">
        <v>0</v>
      </c>
      <c r="T81" s="566">
        <f>Q81+R81+S81</f>
        <v>391040</v>
      </c>
      <c r="U81" s="566">
        <f>+G81-N81</f>
        <v>0</v>
      </c>
      <c r="V81" s="566">
        <f aca="true" t="shared" si="41" ref="V81:X82">J81-Q81</f>
        <v>0</v>
      </c>
      <c r="W81" s="566">
        <f t="shared" si="41"/>
        <v>0</v>
      </c>
      <c r="X81" s="566">
        <f t="shared" si="41"/>
        <v>0</v>
      </c>
      <c r="Y81" s="566">
        <f>V81+W81+X81</f>
        <v>0</v>
      </c>
      <c r="Z81" s="568"/>
      <c r="AA81" s="568" t="s">
        <v>700</v>
      </c>
      <c r="AB81" s="580">
        <v>4.7</v>
      </c>
      <c r="AC81" s="572">
        <v>391040</v>
      </c>
      <c r="AD81" s="568"/>
      <c r="AE81" s="568"/>
      <c r="AF81" s="566">
        <f>AC81+AD81+AE81</f>
        <v>391040</v>
      </c>
      <c r="AG81" s="568"/>
      <c r="AH81" s="568" t="s">
        <v>702</v>
      </c>
      <c r="AI81" s="568">
        <v>4.85</v>
      </c>
      <c r="AJ81" s="568">
        <v>403519.99999999994</v>
      </c>
      <c r="AK81" s="568"/>
      <c r="AL81" s="568"/>
      <c r="AM81" s="566">
        <f t="shared" si="26"/>
        <v>403519.99999999994</v>
      </c>
    </row>
    <row r="82" spans="1:39" s="595" customFormat="1" ht="25.5">
      <c r="A82" s="568">
        <v>2</v>
      </c>
      <c r="B82" s="576" t="s">
        <v>837</v>
      </c>
      <c r="C82" s="573" t="s">
        <v>639</v>
      </c>
      <c r="D82" s="570">
        <v>1972</v>
      </c>
      <c r="E82" s="576" t="s">
        <v>669</v>
      </c>
      <c r="F82" s="570" t="s">
        <v>838</v>
      </c>
      <c r="G82" s="568">
        <v>1</v>
      </c>
      <c r="H82" s="568" t="s">
        <v>763</v>
      </c>
      <c r="I82" s="568">
        <v>3.42</v>
      </c>
      <c r="J82" s="568">
        <v>284544</v>
      </c>
      <c r="K82" s="568"/>
      <c r="L82" s="568"/>
      <c r="M82" s="566">
        <f>J82+K82+L82</f>
        <v>284544</v>
      </c>
      <c r="N82" s="568">
        <v>1</v>
      </c>
      <c r="O82" s="568" t="s">
        <v>764</v>
      </c>
      <c r="P82" s="580">
        <v>3.31</v>
      </c>
      <c r="Q82" s="572">
        <v>275392</v>
      </c>
      <c r="R82" s="572">
        <v>0</v>
      </c>
      <c r="S82" s="572">
        <v>0</v>
      </c>
      <c r="T82" s="566">
        <f>Q82+R82+S82</f>
        <v>275392</v>
      </c>
      <c r="U82" s="566">
        <f>+G82-N82</f>
        <v>0</v>
      </c>
      <c r="V82" s="566">
        <f t="shared" si="41"/>
        <v>9152</v>
      </c>
      <c r="W82" s="566">
        <f t="shared" si="41"/>
        <v>0</v>
      </c>
      <c r="X82" s="566">
        <f t="shared" si="41"/>
        <v>0</v>
      </c>
      <c r="Y82" s="566">
        <f>V82+W82+X82</f>
        <v>9152</v>
      </c>
      <c r="Z82" s="568"/>
      <c r="AA82" s="568" t="s">
        <v>765</v>
      </c>
      <c r="AB82" s="568">
        <v>3.53</v>
      </c>
      <c r="AC82" s="568">
        <v>293696</v>
      </c>
      <c r="AD82" s="568"/>
      <c r="AE82" s="568"/>
      <c r="AF82" s="566">
        <f>AC82+AD82+AE82</f>
        <v>293696</v>
      </c>
      <c r="AG82" s="568"/>
      <c r="AH82" s="568" t="s">
        <v>766</v>
      </c>
      <c r="AI82" s="568">
        <v>3.53</v>
      </c>
      <c r="AJ82" s="568">
        <v>293696</v>
      </c>
      <c r="AK82" s="568"/>
      <c r="AL82" s="568"/>
      <c r="AM82" s="566">
        <f t="shared" si="26"/>
        <v>293696</v>
      </c>
    </row>
    <row r="83" spans="1:39" s="596" customFormat="1" ht="12.75">
      <c r="A83" s="564"/>
      <c r="B83" s="565" t="s">
        <v>120</v>
      </c>
      <c r="C83" s="565"/>
      <c r="D83" s="575" t="s">
        <v>1</v>
      </c>
      <c r="E83" s="575" t="s">
        <v>1</v>
      </c>
      <c r="F83" s="575" t="s">
        <v>1</v>
      </c>
      <c r="G83" s="575">
        <f>SUM(G81:G82)</f>
        <v>2</v>
      </c>
      <c r="H83" s="575" t="s">
        <v>1</v>
      </c>
      <c r="I83" s="575" t="s">
        <v>1</v>
      </c>
      <c r="J83" s="575">
        <f>SUM(J81:J82)</f>
        <v>675584</v>
      </c>
      <c r="K83" s="575">
        <f>SUM(K81:K82)</f>
        <v>0</v>
      </c>
      <c r="L83" s="575">
        <f>SUM(L81:L82)</f>
        <v>0</v>
      </c>
      <c r="M83" s="575">
        <f>SUM(M81:M82)</f>
        <v>675584</v>
      </c>
      <c r="N83" s="575">
        <f>SUM(N81:N82)</f>
        <v>2</v>
      </c>
      <c r="O83" s="575" t="s">
        <v>1</v>
      </c>
      <c r="P83" s="575" t="s">
        <v>1</v>
      </c>
      <c r="Q83" s="581">
        <f aca="true" t="shared" si="42" ref="Q83:Z83">SUM(Q81:Q82)</f>
        <v>666432</v>
      </c>
      <c r="R83" s="575">
        <f t="shared" si="42"/>
        <v>0</v>
      </c>
      <c r="S83" s="575">
        <f t="shared" si="42"/>
        <v>0</v>
      </c>
      <c r="T83" s="575">
        <f t="shared" si="42"/>
        <v>666432</v>
      </c>
      <c r="U83" s="575">
        <f t="shared" si="42"/>
        <v>0</v>
      </c>
      <c r="V83" s="575">
        <f t="shared" si="42"/>
        <v>9152</v>
      </c>
      <c r="W83" s="575">
        <f t="shared" si="42"/>
        <v>0</v>
      </c>
      <c r="X83" s="575">
        <f t="shared" si="42"/>
        <v>0</v>
      </c>
      <c r="Y83" s="575">
        <f t="shared" si="42"/>
        <v>9152</v>
      </c>
      <c r="Z83" s="575">
        <f t="shared" si="42"/>
        <v>0</v>
      </c>
      <c r="AA83" s="575" t="s">
        <v>1</v>
      </c>
      <c r="AB83" s="575" t="s">
        <v>1</v>
      </c>
      <c r="AC83" s="575">
        <f>SUM(AC81:AC82)</f>
        <v>684736</v>
      </c>
      <c r="AD83" s="575">
        <f>SUM(AD81:AD82)</f>
        <v>0</v>
      </c>
      <c r="AE83" s="575">
        <f>SUM(AE81:AE82)</f>
        <v>0</v>
      </c>
      <c r="AF83" s="575">
        <f>SUM(AF81:AF82)</f>
        <v>684736</v>
      </c>
      <c r="AG83" s="575">
        <f>SUM(AG81:AG82)</f>
        <v>0</v>
      </c>
      <c r="AH83" s="575" t="s">
        <v>1</v>
      </c>
      <c r="AI83" s="575" t="s">
        <v>1</v>
      </c>
      <c r="AJ83" s="575">
        <f>SUM(AJ81:AJ82)</f>
        <v>697216</v>
      </c>
      <c r="AK83" s="575">
        <f>SUM(AK81:AK82)</f>
        <v>0</v>
      </c>
      <c r="AL83" s="575">
        <f>SUM(AL81:AL82)</f>
        <v>0</v>
      </c>
      <c r="AM83" s="566">
        <f t="shared" si="26"/>
        <v>697216</v>
      </c>
    </row>
    <row r="84" spans="1:39" s="595" customFormat="1" ht="12.75">
      <c r="A84" s="568"/>
      <c r="B84" s="574" t="s">
        <v>605</v>
      </c>
      <c r="C84" s="569"/>
      <c r="D84" s="566"/>
      <c r="E84" s="566"/>
      <c r="F84" s="566"/>
      <c r="G84" s="568"/>
      <c r="H84" s="566"/>
      <c r="I84" s="566"/>
      <c r="J84" s="568"/>
      <c r="K84" s="568"/>
      <c r="L84" s="568"/>
      <c r="M84" s="568"/>
      <c r="N84" s="568"/>
      <c r="O84" s="566"/>
      <c r="P84" s="566"/>
      <c r="Q84" s="579"/>
      <c r="R84" s="568"/>
      <c r="S84" s="568"/>
      <c r="T84" s="568"/>
      <c r="U84" s="568"/>
      <c r="V84" s="568"/>
      <c r="W84" s="568"/>
      <c r="X84" s="568"/>
      <c r="Y84" s="568"/>
      <c r="Z84" s="568"/>
      <c r="AA84" s="566"/>
      <c r="AB84" s="566"/>
      <c r="AC84" s="568"/>
      <c r="AD84" s="568"/>
      <c r="AE84" s="568"/>
      <c r="AF84" s="568"/>
      <c r="AG84" s="568"/>
      <c r="AH84" s="566"/>
      <c r="AI84" s="566"/>
      <c r="AJ84" s="568"/>
      <c r="AK84" s="568"/>
      <c r="AL84" s="568"/>
      <c r="AM84" s="566">
        <f t="shared" si="26"/>
        <v>0</v>
      </c>
    </row>
    <row r="85" spans="1:39" s="595" customFormat="1" ht="25.5">
      <c r="A85" s="568">
        <v>1</v>
      </c>
      <c r="B85" s="570" t="s">
        <v>839</v>
      </c>
      <c r="C85" s="573" t="s">
        <v>613</v>
      </c>
      <c r="D85" s="570">
        <v>1975</v>
      </c>
      <c r="E85" s="584" t="s">
        <v>662</v>
      </c>
      <c r="F85" s="572" t="s">
        <v>840</v>
      </c>
      <c r="G85" s="568">
        <v>1</v>
      </c>
      <c r="H85" s="568" t="s">
        <v>727</v>
      </c>
      <c r="I85" s="568">
        <v>4.14</v>
      </c>
      <c r="J85" s="568">
        <v>344448</v>
      </c>
      <c r="K85" s="568"/>
      <c r="L85" s="568"/>
      <c r="M85" s="566">
        <f aca="true" t="shared" si="43" ref="M85:M92">J85+K85+L85</f>
        <v>344448</v>
      </c>
      <c r="N85" s="568">
        <v>1</v>
      </c>
      <c r="O85" s="568" t="s">
        <v>841</v>
      </c>
      <c r="P85" s="580">
        <v>4.01</v>
      </c>
      <c r="Q85" s="572">
        <v>333632</v>
      </c>
      <c r="R85" s="572">
        <v>0</v>
      </c>
      <c r="S85" s="572">
        <v>0</v>
      </c>
      <c r="T85" s="566">
        <f aca="true" t="shared" si="44" ref="T85:T92">Q85+R85+S85</f>
        <v>333632</v>
      </c>
      <c r="U85" s="566">
        <f aca="true" t="shared" si="45" ref="U85:U92">+G85-N85</f>
        <v>0</v>
      </c>
      <c r="V85" s="566">
        <f aca="true" t="shared" si="46" ref="V85:X92">J85-Q85</f>
        <v>10816</v>
      </c>
      <c r="W85" s="566">
        <f t="shared" si="46"/>
        <v>0</v>
      </c>
      <c r="X85" s="566">
        <f t="shared" si="46"/>
        <v>0</v>
      </c>
      <c r="Y85" s="566">
        <f aca="true" t="shared" si="47" ref="Y85:Y92">V85+W85+X85</f>
        <v>10816</v>
      </c>
      <c r="Z85" s="568"/>
      <c r="AA85" s="568" t="s">
        <v>726</v>
      </c>
      <c r="AB85" s="568">
        <v>4.27</v>
      </c>
      <c r="AC85" s="568">
        <v>355263.99999999994</v>
      </c>
      <c r="AD85" s="568"/>
      <c r="AE85" s="568"/>
      <c r="AF85" s="566">
        <f aca="true" t="shared" si="48" ref="AF85:AF92">AC85+AD85+AE85</f>
        <v>355263.99999999994</v>
      </c>
      <c r="AG85" s="568"/>
      <c r="AH85" s="568" t="s">
        <v>728</v>
      </c>
      <c r="AI85" s="568">
        <v>4.27</v>
      </c>
      <c r="AJ85" s="568">
        <v>355263.99999999994</v>
      </c>
      <c r="AK85" s="568"/>
      <c r="AL85" s="568"/>
      <c r="AM85" s="566">
        <f t="shared" si="26"/>
        <v>355263.99999999994</v>
      </c>
    </row>
    <row r="86" spans="1:39" s="595" customFormat="1" ht="25.5">
      <c r="A86" s="568">
        <v>2</v>
      </c>
      <c r="B86" s="576" t="s">
        <v>842</v>
      </c>
      <c r="C86" s="573" t="s">
        <v>639</v>
      </c>
      <c r="D86" s="570">
        <v>1980</v>
      </c>
      <c r="E86" s="584" t="s">
        <v>669</v>
      </c>
      <c r="F86" s="572" t="s">
        <v>843</v>
      </c>
      <c r="G86" s="568">
        <v>1</v>
      </c>
      <c r="H86" s="568" t="s">
        <v>720</v>
      </c>
      <c r="I86" s="580">
        <v>4.4</v>
      </c>
      <c r="J86" s="572">
        <v>366080</v>
      </c>
      <c r="K86" s="568"/>
      <c r="L86" s="568"/>
      <c r="M86" s="566">
        <f t="shared" si="43"/>
        <v>366080</v>
      </c>
      <c r="N86" s="568">
        <v>1</v>
      </c>
      <c r="O86" s="568" t="s">
        <v>660</v>
      </c>
      <c r="P86" s="580">
        <v>4.4</v>
      </c>
      <c r="Q86" s="572">
        <v>366080</v>
      </c>
      <c r="R86" s="572">
        <v>0</v>
      </c>
      <c r="S86" s="572">
        <v>0</v>
      </c>
      <c r="T86" s="566">
        <f t="shared" si="44"/>
        <v>366080</v>
      </c>
      <c r="U86" s="566">
        <f t="shared" si="45"/>
        <v>0</v>
      </c>
      <c r="V86" s="566">
        <f t="shared" si="46"/>
        <v>0</v>
      </c>
      <c r="W86" s="566">
        <f t="shared" si="46"/>
        <v>0</v>
      </c>
      <c r="X86" s="566">
        <f t="shared" si="46"/>
        <v>0</v>
      </c>
      <c r="Y86" s="566">
        <f t="shared" si="47"/>
        <v>0</v>
      </c>
      <c r="Z86" s="568"/>
      <c r="AA86" s="568" t="s">
        <v>844</v>
      </c>
      <c r="AB86" s="580">
        <v>4.4</v>
      </c>
      <c r="AC86" s="572">
        <v>366080</v>
      </c>
      <c r="AD86" s="568"/>
      <c r="AE86" s="568"/>
      <c r="AF86" s="566">
        <f t="shared" si="48"/>
        <v>366080</v>
      </c>
      <c r="AG86" s="568"/>
      <c r="AH86" s="568" t="s">
        <v>845</v>
      </c>
      <c r="AI86" s="580">
        <v>4.4</v>
      </c>
      <c r="AJ86" s="572">
        <v>366080</v>
      </c>
      <c r="AK86" s="568"/>
      <c r="AL86" s="568"/>
      <c r="AM86" s="566">
        <f t="shared" si="26"/>
        <v>366080</v>
      </c>
    </row>
    <row r="87" spans="1:39" s="595" customFormat="1" ht="25.5">
      <c r="A87" s="568">
        <v>3</v>
      </c>
      <c r="B87" s="576" t="s">
        <v>694</v>
      </c>
      <c r="C87" s="574"/>
      <c r="D87" s="568"/>
      <c r="E87" s="584" t="s">
        <v>695</v>
      </c>
      <c r="F87" s="572" t="s">
        <v>846</v>
      </c>
      <c r="G87" s="568">
        <v>1</v>
      </c>
      <c r="H87" s="568"/>
      <c r="I87" s="568"/>
      <c r="J87" s="568">
        <v>221312</v>
      </c>
      <c r="K87" s="568"/>
      <c r="L87" s="568"/>
      <c r="M87" s="566">
        <f t="shared" si="43"/>
        <v>221312</v>
      </c>
      <c r="N87" s="568">
        <v>1</v>
      </c>
      <c r="O87" s="568"/>
      <c r="P87" s="580">
        <v>2.66</v>
      </c>
      <c r="Q87" s="572">
        <v>221312</v>
      </c>
      <c r="R87" s="572">
        <v>0</v>
      </c>
      <c r="S87" s="572">
        <v>0</v>
      </c>
      <c r="T87" s="566">
        <f t="shared" si="44"/>
        <v>221312</v>
      </c>
      <c r="U87" s="566">
        <f t="shared" si="45"/>
        <v>0</v>
      </c>
      <c r="V87" s="566">
        <f t="shared" si="46"/>
        <v>0</v>
      </c>
      <c r="W87" s="566">
        <f t="shared" si="46"/>
        <v>0</v>
      </c>
      <c r="X87" s="566">
        <f t="shared" si="46"/>
        <v>0</v>
      </c>
      <c r="Y87" s="566">
        <f t="shared" si="47"/>
        <v>0</v>
      </c>
      <c r="Z87" s="568"/>
      <c r="AA87" s="568"/>
      <c r="AB87" s="568"/>
      <c r="AC87" s="568">
        <v>221312</v>
      </c>
      <c r="AD87" s="568"/>
      <c r="AE87" s="568"/>
      <c r="AF87" s="566">
        <f t="shared" si="48"/>
        <v>221312</v>
      </c>
      <c r="AG87" s="568"/>
      <c r="AH87" s="568"/>
      <c r="AI87" s="568"/>
      <c r="AJ87" s="568">
        <v>221312</v>
      </c>
      <c r="AK87" s="568"/>
      <c r="AL87" s="568"/>
      <c r="AM87" s="566">
        <f t="shared" si="26"/>
        <v>221312</v>
      </c>
    </row>
    <row r="88" spans="1:39" s="595" customFormat="1" ht="25.5">
      <c r="A88" s="568">
        <v>4</v>
      </c>
      <c r="B88" s="576" t="s">
        <v>847</v>
      </c>
      <c r="C88" s="573" t="s">
        <v>639</v>
      </c>
      <c r="D88" s="570">
        <v>1960</v>
      </c>
      <c r="E88" s="584" t="s">
        <v>848</v>
      </c>
      <c r="F88" s="572" t="s">
        <v>849</v>
      </c>
      <c r="G88" s="568">
        <v>1</v>
      </c>
      <c r="H88" s="568" t="s">
        <v>710</v>
      </c>
      <c r="I88" s="580">
        <v>2.28</v>
      </c>
      <c r="J88" s="585">
        <v>189696</v>
      </c>
      <c r="K88" s="568"/>
      <c r="L88" s="568"/>
      <c r="M88" s="566">
        <f t="shared" si="43"/>
        <v>189696</v>
      </c>
      <c r="N88" s="568">
        <v>1</v>
      </c>
      <c r="O88" s="568" t="s">
        <v>711</v>
      </c>
      <c r="P88" s="580">
        <v>2.28</v>
      </c>
      <c r="Q88" s="585">
        <v>189696</v>
      </c>
      <c r="R88" s="572">
        <v>0</v>
      </c>
      <c r="S88" s="572">
        <v>0</v>
      </c>
      <c r="T88" s="566">
        <f t="shared" si="44"/>
        <v>189696</v>
      </c>
      <c r="U88" s="566">
        <f t="shared" si="45"/>
        <v>0</v>
      </c>
      <c r="V88" s="566">
        <f t="shared" si="46"/>
        <v>0</v>
      </c>
      <c r="W88" s="566">
        <f t="shared" si="46"/>
        <v>0</v>
      </c>
      <c r="X88" s="566">
        <f t="shared" si="46"/>
        <v>0</v>
      </c>
      <c r="Y88" s="566">
        <f t="shared" si="47"/>
        <v>0</v>
      </c>
      <c r="Z88" s="568"/>
      <c r="AA88" s="568" t="s">
        <v>712</v>
      </c>
      <c r="AB88" s="580">
        <v>2.28</v>
      </c>
      <c r="AC88" s="585">
        <v>189696</v>
      </c>
      <c r="AD88" s="568"/>
      <c r="AE88" s="568"/>
      <c r="AF88" s="566">
        <f t="shared" si="48"/>
        <v>189696</v>
      </c>
      <c r="AG88" s="568"/>
      <c r="AH88" s="568" t="s">
        <v>713</v>
      </c>
      <c r="AI88" s="580">
        <v>2.28</v>
      </c>
      <c r="AJ88" s="585">
        <v>189696</v>
      </c>
      <c r="AK88" s="568"/>
      <c r="AL88" s="568"/>
      <c r="AM88" s="566">
        <f t="shared" si="26"/>
        <v>189696</v>
      </c>
    </row>
    <row r="89" spans="1:39" s="595" customFormat="1" ht="63.75">
      <c r="A89" s="568">
        <v>5</v>
      </c>
      <c r="B89" s="570" t="s">
        <v>850</v>
      </c>
      <c r="C89" s="573" t="s">
        <v>613</v>
      </c>
      <c r="D89" s="570">
        <v>1962</v>
      </c>
      <c r="E89" s="584" t="s">
        <v>851</v>
      </c>
      <c r="F89" s="572" t="s">
        <v>852</v>
      </c>
      <c r="G89" s="568">
        <v>1</v>
      </c>
      <c r="H89" s="568" t="s">
        <v>769</v>
      </c>
      <c r="I89" s="580">
        <v>4.4</v>
      </c>
      <c r="J89" s="572">
        <v>366080</v>
      </c>
      <c r="K89" s="568"/>
      <c r="L89" s="572">
        <v>18304</v>
      </c>
      <c r="M89" s="566">
        <f t="shared" si="43"/>
        <v>384384</v>
      </c>
      <c r="N89" s="568">
        <v>1</v>
      </c>
      <c r="O89" s="568" t="s">
        <v>770</v>
      </c>
      <c r="P89" s="580">
        <v>4.4</v>
      </c>
      <c r="Q89" s="572">
        <v>366080</v>
      </c>
      <c r="R89" s="572">
        <v>0</v>
      </c>
      <c r="S89" s="572">
        <v>18304</v>
      </c>
      <c r="T89" s="582">
        <f t="shared" si="44"/>
        <v>384384</v>
      </c>
      <c r="U89" s="566">
        <f t="shared" si="45"/>
        <v>0</v>
      </c>
      <c r="V89" s="566">
        <f t="shared" si="46"/>
        <v>0</v>
      </c>
      <c r="W89" s="566">
        <f t="shared" si="46"/>
        <v>0</v>
      </c>
      <c r="X89" s="566">
        <f t="shared" si="46"/>
        <v>0</v>
      </c>
      <c r="Y89" s="566">
        <f t="shared" si="47"/>
        <v>0</v>
      </c>
      <c r="Z89" s="568"/>
      <c r="AA89" s="568" t="s">
        <v>771</v>
      </c>
      <c r="AB89" s="580">
        <v>4.4</v>
      </c>
      <c r="AC89" s="572">
        <v>366080</v>
      </c>
      <c r="AD89" s="568"/>
      <c r="AE89" s="572">
        <v>18304</v>
      </c>
      <c r="AF89" s="566">
        <f t="shared" si="48"/>
        <v>384384</v>
      </c>
      <c r="AG89" s="568"/>
      <c r="AH89" s="568" t="s">
        <v>772</v>
      </c>
      <c r="AI89" s="580">
        <v>4.4</v>
      </c>
      <c r="AJ89" s="572">
        <v>366080</v>
      </c>
      <c r="AK89" s="568"/>
      <c r="AL89" s="572">
        <v>18304</v>
      </c>
      <c r="AM89" s="566">
        <f t="shared" si="26"/>
        <v>384384</v>
      </c>
    </row>
    <row r="90" spans="1:39" s="595" customFormat="1" ht="63.75">
      <c r="A90" s="568">
        <v>6</v>
      </c>
      <c r="B90" s="576" t="s">
        <v>853</v>
      </c>
      <c r="C90" s="573" t="s">
        <v>639</v>
      </c>
      <c r="D90" s="570">
        <v>1976</v>
      </c>
      <c r="E90" s="584" t="s">
        <v>854</v>
      </c>
      <c r="F90" s="572" t="s">
        <v>855</v>
      </c>
      <c r="G90" s="568">
        <v>1</v>
      </c>
      <c r="H90" s="568" t="s">
        <v>763</v>
      </c>
      <c r="I90" s="568">
        <v>3.31</v>
      </c>
      <c r="J90" s="568">
        <v>275392</v>
      </c>
      <c r="K90" s="568"/>
      <c r="L90" s="568"/>
      <c r="M90" s="566">
        <f t="shared" si="43"/>
        <v>275392</v>
      </c>
      <c r="N90" s="568">
        <v>1</v>
      </c>
      <c r="O90" s="568" t="s">
        <v>764</v>
      </c>
      <c r="P90" s="580">
        <v>3.21</v>
      </c>
      <c r="Q90" s="572">
        <v>267072</v>
      </c>
      <c r="R90" s="572">
        <v>0</v>
      </c>
      <c r="S90" s="572">
        <v>0</v>
      </c>
      <c r="T90" s="582">
        <f t="shared" si="44"/>
        <v>267072</v>
      </c>
      <c r="U90" s="566">
        <f t="shared" si="45"/>
        <v>0</v>
      </c>
      <c r="V90" s="566">
        <f t="shared" si="46"/>
        <v>8320</v>
      </c>
      <c r="W90" s="566">
        <f t="shared" si="46"/>
        <v>0</v>
      </c>
      <c r="X90" s="566">
        <f t="shared" si="46"/>
        <v>0</v>
      </c>
      <c r="Y90" s="566">
        <f t="shared" si="47"/>
        <v>8320</v>
      </c>
      <c r="Z90" s="568"/>
      <c r="AA90" s="568" t="s">
        <v>765</v>
      </c>
      <c r="AB90" s="568">
        <v>3.42</v>
      </c>
      <c r="AC90" s="568">
        <v>284544</v>
      </c>
      <c r="AD90" s="568"/>
      <c r="AE90" s="568"/>
      <c r="AF90" s="566">
        <f t="shared" si="48"/>
        <v>284544</v>
      </c>
      <c r="AG90" s="568"/>
      <c r="AH90" s="568" t="s">
        <v>766</v>
      </c>
      <c r="AI90" s="568">
        <v>3.53</v>
      </c>
      <c r="AJ90" s="568">
        <v>293696</v>
      </c>
      <c r="AK90" s="568"/>
      <c r="AL90" s="568"/>
      <c r="AM90" s="566">
        <f t="shared" si="26"/>
        <v>293696</v>
      </c>
    </row>
    <row r="91" spans="1:39" s="595" customFormat="1" ht="51">
      <c r="A91" s="568">
        <v>7</v>
      </c>
      <c r="B91" s="576" t="s">
        <v>856</v>
      </c>
      <c r="C91" s="573" t="s">
        <v>639</v>
      </c>
      <c r="D91" s="570">
        <v>1982</v>
      </c>
      <c r="E91" s="584" t="s">
        <v>857</v>
      </c>
      <c r="F91" s="572" t="s">
        <v>858</v>
      </c>
      <c r="G91" s="568">
        <v>1</v>
      </c>
      <c r="H91" s="568" t="s">
        <v>781</v>
      </c>
      <c r="I91" s="568">
        <v>2.5</v>
      </c>
      <c r="J91" s="568">
        <v>208000</v>
      </c>
      <c r="K91" s="568"/>
      <c r="L91" s="568"/>
      <c r="M91" s="566">
        <f t="shared" si="43"/>
        <v>208000</v>
      </c>
      <c r="N91" s="568">
        <v>1</v>
      </c>
      <c r="O91" s="568" t="s">
        <v>779</v>
      </c>
      <c r="P91" s="580">
        <v>2.5</v>
      </c>
      <c r="Q91" s="572">
        <v>208000</v>
      </c>
      <c r="R91" s="572">
        <v>0</v>
      </c>
      <c r="S91" s="572">
        <v>0</v>
      </c>
      <c r="T91" s="582">
        <f t="shared" si="44"/>
        <v>208000</v>
      </c>
      <c r="U91" s="566">
        <f t="shared" si="45"/>
        <v>0</v>
      </c>
      <c r="V91" s="566">
        <f t="shared" si="46"/>
        <v>0</v>
      </c>
      <c r="W91" s="566">
        <f t="shared" si="46"/>
        <v>0</v>
      </c>
      <c r="X91" s="566">
        <f t="shared" si="46"/>
        <v>0</v>
      </c>
      <c r="Y91" s="566">
        <f t="shared" si="47"/>
        <v>0</v>
      </c>
      <c r="Z91" s="568"/>
      <c r="AA91" s="568" t="s">
        <v>782</v>
      </c>
      <c r="AB91" s="568">
        <v>2.58</v>
      </c>
      <c r="AC91" s="568">
        <v>214656</v>
      </c>
      <c r="AD91" s="568"/>
      <c r="AE91" s="568"/>
      <c r="AF91" s="566">
        <f t="shared" si="48"/>
        <v>214656</v>
      </c>
      <c r="AG91" s="568"/>
      <c r="AH91" s="568" t="s">
        <v>859</v>
      </c>
      <c r="AI91" s="568">
        <v>2.58</v>
      </c>
      <c r="AJ91" s="568">
        <v>214656</v>
      </c>
      <c r="AK91" s="568"/>
      <c r="AL91" s="568"/>
      <c r="AM91" s="566">
        <f t="shared" si="26"/>
        <v>214656</v>
      </c>
    </row>
    <row r="92" spans="1:39" s="595" customFormat="1" ht="51">
      <c r="A92" s="568">
        <v>8</v>
      </c>
      <c r="B92" s="570" t="s">
        <v>860</v>
      </c>
      <c r="C92" s="573" t="s">
        <v>639</v>
      </c>
      <c r="D92" s="570">
        <v>1958</v>
      </c>
      <c r="E92" s="584" t="s">
        <v>861</v>
      </c>
      <c r="F92" s="572" t="s">
        <v>862</v>
      </c>
      <c r="G92" s="568">
        <v>1</v>
      </c>
      <c r="H92" s="568" t="s">
        <v>863</v>
      </c>
      <c r="I92" s="580">
        <v>2.28</v>
      </c>
      <c r="J92" s="572">
        <v>189696</v>
      </c>
      <c r="K92" s="568"/>
      <c r="L92" s="572">
        <v>9485</v>
      </c>
      <c r="M92" s="566">
        <f t="shared" si="43"/>
        <v>199181</v>
      </c>
      <c r="N92" s="568">
        <v>1</v>
      </c>
      <c r="O92" s="568" t="s">
        <v>864</v>
      </c>
      <c r="P92" s="580">
        <v>2.28</v>
      </c>
      <c r="Q92" s="572">
        <v>189696</v>
      </c>
      <c r="R92" s="572">
        <v>0</v>
      </c>
      <c r="S92" s="572">
        <v>9485</v>
      </c>
      <c r="T92" s="582">
        <f t="shared" si="44"/>
        <v>199181</v>
      </c>
      <c r="U92" s="566">
        <f t="shared" si="45"/>
        <v>0</v>
      </c>
      <c r="V92" s="566">
        <f t="shared" si="46"/>
        <v>0</v>
      </c>
      <c r="W92" s="566">
        <f t="shared" si="46"/>
        <v>0</v>
      </c>
      <c r="X92" s="566">
        <f t="shared" si="46"/>
        <v>0</v>
      </c>
      <c r="Y92" s="566">
        <f t="shared" si="47"/>
        <v>0</v>
      </c>
      <c r="Z92" s="568"/>
      <c r="AA92" s="568" t="s">
        <v>865</v>
      </c>
      <c r="AB92" s="580">
        <v>2.28</v>
      </c>
      <c r="AC92" s="572">
        <v>189696</v>
      </c>
      <c r="AD92" s="568"/>
      <c r="AE92" s="572">
        <v>9485</v>
      </c>
      <c r="AF92" s="566">
        <f t="shared" si="48"/>
        <v>199181</v>
      </c>
      <c r="AG92" s="568"/>
      <c r="AH92" s="568" t="s">
        <v>866</v>
      </c>
      <c r="AI92" s="580">
        <v>2.28</v>
      </c>
      <c r="AJ92" s="572">
        <v>189696</v>
      </c>
      <c r="AK92" s="568"/>
      <c r="AL92" s="572">
        <v>9485</v>
      </c>
      <c r="AM92" s="566">
        <f t="shared" si="26"/>
        <v>199181</v>
      </c>
    </row>
    <row r="93" spans="1:39" s="596" customFormat="1" ht="12.75">
      <c r="A93" s="564"/>
      <c r="B93" s="565" t="s">
        <v>120</v>
      </c>
      <c r="C93" s="565"/>
      <c r="D93" s="575" t="s">
        <v>1</v>
      </c>
      <c r="E93" s="575" t="s">
        <v>1</v>
      </c>
      <c r="F93" s="575" t="s">
        <v>1</v>
      </c>
      <c r="G93" s="575">
        <f>SUM(G85:G92)</f>
        <v>8</v>
      </c>
      <c r="H93" s="575" t="s">
        <v>1</v>
      </c>
      <c r="I93" s="575" t="s">
        <v>1</v>
      </c>
      <c r="J93" s="575">
        <f>SUM(J84:J92)</f>
        <v>2160704</v>
      </c>
      <c r="K93" s="575">
        <f>SUM(K84:K92)</f>
        <v>0</v>
      </c>
      <c r="L93" s="575">
        <f>SUM(L84:L92)</f>
        <v>27789</v>
      </c>
      <c r="M93" s="575">
        <f>SUM(M84:M92)</f>
        <v>2188493</v>
      </c>
      <c r="N93" s="575">
        <f>SUM(N84:N92)</f>
        <v>8</v>
      </c>
      <c r="O93" s="575" t="s">
        <v>1</v>
      </c>
      <c r="P93" s="575" t="s">
        <v>1</v>
      </c>
      <c r="Q93" s="581">
        <f>SUM(Q84:Q92)</f>
        <v>2141568</v>
      </c>
      <c r="R93" s="581">
        <f>SUM(R84:R92)</f>
        <v>0</v>
      </c>
      <c r="S93" s="581">
        <f>SUM(S84:S92)</f>
        <v>27789</v>
      </c>
      <c r="T93" s="575">
        <f>SUM(T84:T92)</f>
        <v>2169357</v>
      </c>
      <c r="U93" s="575">
        <f aca="true" t="shared" si="49" ref="U93:Z93">SUM(U84:U92)</f>
        <v>0</v>
      </c>
      <c r="V93" s="575">
        <f t="shared" si="49"/>
        <v>19136</v>
      </c>
      <c r="W93" s="575">
        <f t="shared" si="49"/>
        <v>0</v>
      </c>
      <c r="X93" s="575">
        <f t="shared" si="49"/>
        <v>0</v>
      </c>
      <c r="Y93" s="575">
        <f t="shared" si="49"/>
        <v>19136</v>
      </c>
      <c r="Z93" s="575">
        <f t="shared" si="49"/>
        <v>0</v>
      </c>
      <c r="AA93" s="575" t="s">
        <v>1</v>
      </c>
      <c r="AB93" s="575" t="s">
        <v>1</v>
      </c>
      <c r="AC93" s="575">
        <f>SUM(AC85:AC92)</f>
        <v>2187328</v>
      </c>
      <c r="AD93" s="575">
        <f>SUM(AD85:AD92)</f>
        <v>0</v>
      </c>
      <c r="AE93" s="575">
        <f>SUM(AE85:AE92)</f>
        <v>27789</v>
      </c>
      <c r="AF93" s="575">
        <f>SUM(AF85:AF92)</f>
        <v>2215117</v>
      </c>
      <c r="AG93" s="575">
        <f>SUM(AG85:AG92)</f>
        <v>0</v>
      </c>
      <c r="AH93" s="575" t="s">
        <v>1</v>
      </c>
      <c r="AI93" s="575" t="s">
        <v>1</v>
      </c>
      <c r="AJ93" s="575">
        <f>SUM(AJ85:AJ92)</f>
        <v>2196480</v>
      </c>
      <c r="AK93" s="575">
        <f>SUM(AK85:AK92)</f>
        <v>0</v>
      </c>
      <c r="AL93" s="575">
        <f>SUM(AL85:AL92)</f>
        <v>27789</v>
      </c>
      <c r="AM93" s="566">
        <f t="shared" si="26"/>
        <v>2224269</v>
      </c>
    </row>
    <row r="94" spans="1:39" s="595" customFormat="1" ht="12.75">
      <c r="A94" s="568"/>
      <c r="B94" s="574" t="s">
        <v>867</v>
      </c>
      <c r="C94" s="569"/>
      <c r="D94" s="566"/>
      <c r="E94" s="566"/>
      <c r="F94" s="566"/>
      <c r="G94" s="568"/>
      <c r="H94" s="566"/>
      <c r="I94" s="566"/>
      <c r="J94" s="568"/>
      <c r="K94" s="568"/>
      <c r="L94" s="568"/>
      <c r="M94" s="568"/>
      <c r="N94" s="568"/>
      <c r="O94" s="566"/>
      <c r="P94" s="566"/>
      <c r="Q94" s="568"/>
      <c r="R94" s="568"/>
      <c r="S94" s="579"/>
      <c r="T94" s="568"/>
      <c r="U94" s="568"/>
      <c r="V94" s="568"/>
      <c r="W94" s="568"/>
      <c r="X94" s="568"/>
      <c r="Y94" s="568"/>
      <c r="Z94" s="568"/>
      <c r="AA94" s="566"/>
      <c r="AB94" s="566"/>
      <c r="AC94" s="568"/>
      <c r="AD94" s="568"/>
      <c r="AE94" s="568"/>
      <c r="AF94" s="568"/>
      <c r="AG94" s="568"/>
      <c r="AH94" s="566"/>
      <c r="AI94" s="566"/>
      <c r="AJ94" s="568"/>
      <c r="AK94" s="568"/>
      <c r="AL94" s="568"/>
      <c r="AM94" s="566">
        <f t="shared" si="26"/>
        <v>0</v>
      </c>
    </row>
    <row r="95" spans="1:39" s="595" customFormat="1" ht="25.5">
      <c r="A95" s="568">
        <v>1</v>
      </c>
      <c r="B95" s="576" t="s">
        <v>868</v>
      </c>
      <c r="C95" s="573" t="s">
        <v>613</v>
      </c>
      <c r="D95" s="570">
        <v>1980</v>
      </c>
      <c r="E95" s="576" t="s">
        <v>662</v>
      </c>
      <c r="F95" s="572" t="s">
        <v>869</v>
      </c>
      <c r="G95" s="568">
        <v>1</v>
      </c>
      <c r="H95" s="568" t="s">
        <v>771</v>
      </c>
      <c r="I95" s="578">
        <v>5.01</v>
      </c>
      <c r="J95" s="572">
        <v>416832</v>
      </c>
      <c r="K95" s="568"/>
      <c r="L95" s="568"/>
      <c r="M95" s="566">
        <f aca="true" t="shared" si="50" ref="M95:M106">J95+K95+L95</f>
        <v>416832</v>
      </c>
      <c r="N95" s="568">
        <v>1</v>
      </c>
      <c r="O95" s="568" t="s">
        <v>769</v>
      </c>
      <c r="P95" s="578">
        <v>5.01</v>
      </c>
      <c r="Q95" s="572">
        <v>416832</v>
      </c>
      <c r="R95" s="572">
        <v>0</v>
      </c>
      <c r="S95" s="572">
        <v>0</v>
      </c>
      <c r="T95" s="582">
        <f aca="true" t="shared" si="51" ref="T95:T106">Q95+R95+S95</f>
        <v>416832</v>
      </c>
      <c r="U95" s="566">
        <f aca="true" t="shared" si="52" ref="U95:U106">+G95-N95</f>
        <v>0</v>
      </c>
      <c r="V95" s="566">
        <f aca="true" t="shared" si="53" ref="V95:X106">J95-Q95</f>
        <v>0</v>
      </c>
      <c r="W95" s="566">
        <f t="shared" si="53"/>
        <v>0</v>
      </c>
      <c r="X95" s="566">
        <f t="shared" si="53"/>
        <v>0</v>
      </c>
      <c r="Y95" s="566">
        <f aca="true" t="shared" si="54" ref="Y95:Y106">V95+W95+X95</f>
        <v>0</v>
      </c>
      <c r="Z95" s="568"/>
      <c r="AA95" s="568" t="s">
        <v>772</v>
      </c>
      <c r="AB95" s="568">
        <v>5.17</v>
      </c>
      <c r="AC95" s="568">
        <v>430144</v>
      </c>
      <c r="AD95" s="568"/>
      <c r="AE95" s="568"/>
      <c r="AF95" s="566">
        <f aca="true" t="shared" si="55" ref="AF95:AF106">AC95+AD95+AE95</f>
        <v>430144</v>
      </c>
      <c r="AG95" s="568"/>
      <c r="AH95" s="568" t="s">
        <v>870</v>
      </c>
      <c r="AI95" s="568">
        <v>5.17</v>
      </c>
      <c r="AJ95" s="568">
        <v>430144</v>
      </c>
      <c r="AK95" s="568"/>
      <c r="AL95" s="568"/>
      <c r="AM95" s="566">
        <f t="shared" si="26"/>
        <v>430144</v>
      </c>
    </row>
    <row r="96" spans="1:39" s="595" customFormat="1" ht="25.5">
      <c r="A96" s="568">
        <v>2</v>
      </c>
      <c r="B96" s="576" t="s">
        <v>871</v>
      </c>
      <c r="C96" s="573" t="s">
        <v>613</v>
      </c>
      <c r="D96" s="570">
        <v>1963</v>
      </c>
      <c r="E96" s="576" t="s">
        <v>669</v>
      </c>
      <c r="F96" s="572" t="s">
        <v>872</v>
      </c>
      <c r="G96" s="568">
        <v>1</v>
      </c>
      <c r="H96" s="568" t="s">
        <v>873</v>
      </c>
      <c r="I96" s="578">
        <v>4.4</v>
      </c>
      <c r="J96" s="572">
        <v>366080</v>
      </c>
      <c r="K96" s="568"/>
      <c r="L96" s="568"/>
      <c r="M96" s="566">
        <f t="shared" si="50"/>
        <v>366080</v>
      </c>
      <c r="N96" s="568">
        <v>1</v>
      </c>
      <c r="O96" s="568" t="s">
        <v>874</v>
      </c>
      <c r="P96" s="578">
        <v>4.4</v>
      </c>
      <c r="Q96" s="572">
        <v>366080</v>
      </c>
      <c r="R96" s="572">
        <v>0</v>
      </c>
      <c r="S96" s="572">
        <v>0</v>
      </c>
      <c r="T96" s="582">
        <f t="shared" si="51"/>
        <v>366080</v>
      </c>
      <c r="U96" s="566">
        <f t="shared" si="52"/>
        <v>0</v>
      </c>
      <c r="V96" s="566">
        <f t="shared" si="53"/>
        <v>0</v>
      </c>
      <c r="W96" s="566">
        <f t="shared" si="53"/>
        <v>0</v>
      </c>
      <c r="X96" s="566">
        <f t="shared" si="53"/>
        <v>0</v>
      </c>
      <c r="Y96" s="566">
        <f t="shared" si="54"/>
        <v>0</v>
      </c>
      <c r="Z96" s="568"/>
      <c r="AA96" s="568" t="s">
        <v>875</v>
      </c>
      <c r="AB96" s="578">
        <v>4.4</v>
      </c>
      <c r="AC96" s="572">
        <v>366080</v>
      </c>
      <c r="AD96" s="568"/>
      <c r="AE96" s="568"/>
      <c r="AF96" s="566">
        <f t="shared" si="55"/>
        <v>366080</v>
      </c>
      <c r="AG96" s="568"/>
      <c r="AH96" s="568" t="s">
        <v>876</v>
      </c>
      <c r="AI96" s="578">
        <v>4.4</v>
      </c>
      <c r="AJ96" s="572">
        <v>366080</v>
      </c>
      <c r="AK96" s="568"/>
      <c r="AL96" s="568"/>
      <c r="AM96" s="566">
        <f t="shared" si="26"/>
        <v>366080</v>
      </c>
    </row>
    <row r="97" spans="1:39" s="595" customFormat="1" ht="25.5">
      <c r="A97" s="568">
        <v>3</v>
      </c>
      <c r="B97" s="576" t="s">
        <v>877</v>
      </c>
      <c r="C97" s="573" t="s">
        <v>613</v>
      </c>
      <c r="D97" s="570">
        <v>1977</v>
      </c>
      <c r="E97" s="576" t="s">
        <v>669</v>
      </c>
      <c r="F97" s="572" t="s">
        <v>878</v>
      </c>
      <c r="G97" s="568">
        <v>1</v>
      </c>
      <c r="H97" s="568" t="s">
        <v>763</v>
      </c>
      <c r="I97" s="568">
        <v>3.31</v>
      </c>
      <c r="J97" s="568">
        <v>275392</v>
      </c>
      <c r="K97" s="568"/>
      <c r="L97" s="568"/>
      <c r="M97" s="566">
        <f t="shared" si="50"/>
        <v>275392</v>
      </c>
      <c r="N97" s="568">
        <v>1</v>
      </c>
      <c r="O97" s="568" t="s">
        <v>764</v>
      </c>
      <c r="P97" s="578">
        <v>3.21</v>
      </c>
      <c r="Q97" s="572">
        <v>267072</v>
      </c>
      <c r="R97" s="572">
        <v>0</v>
      </c>
      <c r="S97" s="572">
        <v>0</v>
      </c>
      <c r="T97" s="582">
        <f t="shared" si="51"/>
        <v>267072</v>
      </c>
      <c r="U97" s="566">
        <f t="shared" si="52"/>
        <v>0</v>
      </c>
      <c r="V97" s="566">
        <f t="shared" si="53"/>
        <v>8320</v>
      </c>
      <c r="W97" s="566">
        <f t="shared" si="53"/>
        <v>0</v>
      </c>
      <c r="X97" s="566">
        <f t="shared" si="53"/>
        <v>0</v>
      </c>
      <c r="Y97" s="566">
        <f t="shared" si="54"/>
        <v>8320</v>
      </c>
      <c r="Z97" s="568"/>
      <c r="AA97" s="568" t="s">
        <v>765</v>
      </c>
      <c r="AB97" s="568">
        <v>3.42</v>
      </c>
      <c r="AC97" s="568">
        <v>284544</v>
      </c>
      <c r="AD97" s="568"/>
      <c r="AE97" s="568"/>
      <c r="AF97" s="566">
        <f t="shared" si="55"/>
        <v>284544</v>
      </c>
      <c r="AG97" s="568"/>
      <c r="AH97" s="568" t="s">
        <v>766</v>
      </c>
      <c r="AI97" s="568">
        <v>3.53</v>
      </c>
      <c r="AJ97" s="568">
        <v>293696</v>
      </c>
      <c r="AK97" s="568"/>
      <c r="AL97" s="568"/>
      <c r="AM97" s="566">
        <f t="shared" si="26"/>
        <v>293696</v>
      </c>
    </row>
    <row r="98" spans="1:39" s="595" customFormat="1" ht="25.5">
      <c r="A98" s="568">
        <v>4</v>
      </c>
      <c r="B98" s="576" t="s">
        <v>879</v>
      </c>
      <c r="C98" s="573" t="s">
        <v>639</v>
      </c>
      <c r="D98" s="570">
        <v>1984</v>
      </c>
      <c r="E98" s="576" t="s">
        <v>669</v>
      </c>
      <c r="F98" s="572" t="s">
        <v>880</v>
      </c>
      <c r="G98" s="568">
        <v>1</v>
      </c>
      <c r="H98" s="568" t="s">
        <v>881</v>
      </c>
      <c r="I98" s="568">
        <v>4.13</v>
      </c>
      <c r="J98" s="568">
        <v>343616</v>
      </c>
      <c r="K98" s="568"/>
      <c r="L98" s="568"/>
      <c r="M98" s="566">
        <f t="shared" si="50"/>
        <v>343616</v>
      </c>
      <c r="N98" s="568">
        <v>1</v>
      </c>
      <c r="O98" s="568" t="s">
        <v>882</v>
      </c>
      <c r="P98" s="578">
        <v>4.01</v>
      </c>
      <c r="Q98" s="572">
        <v>333632</v>
      </c>
      <c r="R98" s="572">
        <v>0</v>
      </c>
      <c r="S98" s="572">
        <v>0</v>
      </c>
      <c r="T98" s="582">
        <f t="shared" si="51"/>
        <v>333632</v>
      </c>
      <c r="U98" s="566">
        <f t="shared" si="52"/>
        <v>0</v>
      </c>
      <c r="V98" s="566">
        <f t="shared" si="53"/>
        <v>9984</v>
      </c>
      <c r="W98" s="566">
        <f t="shared" si="53"/>
        <v>0</v>
      </c>
      <c r="X98" s="566">
        <f t="shared" si="53"/>
        <v>0</v>
      </c>
      <c r="Y98" s="566">
        <f t="shared" si="54"/>
        <v>9984</v>
      </c>
      <c r="Z98" s="568"/>
      <c r="AA98" s="568" t="s">
        <v>764</v>
      </c>
      <c r="AB98" s="568">
        <v>4.13</v>
      </c>
      <c r="AC98" s="568">
        <v>343616</v>
      </c>
      <c r="AD98" s="568"/>
      <c r="AE98" s="568"/>
      <c r="AF98" s="566">
        <f t="shared" si="55"/>
        <v>343616</v>
      </c>
      <c r="AG98" s="568"/>
      <c r="AH98" s="568" t="s">
        <v>763</v>
      </c>
      <c r="AI98" s="568">
        <v>4.13</v>
      </c>
      <c r="AJ98" s="568">
        <v>343616</v>
      </c>
      <c r="AK98" s="568"/>
      <c r="AL98" s="568"/>
      <c r="AM98" s="566">
        <f t="shared" si="26"/>
        <v>343616</v>
      </c>
    </row>
    <row r="99" spans="1:39" s="595" customFormat="1" ht="25.5">
      <c r="A99" s="568">
        <v>5</v>
      </c>
      <c r="B99" s="576" t="s">
        <v>883</v>
      </c>
      <c r="C99" s="573" t="s">
        <v>613</v>
      </c>
      <c r="D99" s="570">
        <v>1986</v>
      </c>
      <c r="E99" s="576" t="s">
        <v>695</v>
      </c>
      <c r="F99" s="572" t="s">
        <v>884</v>
      </c>
      <c r="G99" s="568">
        <v>1</v>
      </c>
      <c r="H99" s="568" t="s">
        <v>885</v>
      </c>
      <c r="I99" s="568">
        <v>3.31</v>
      </c>
      <c r="J99" s="568">
        <v>275392</v>
      </c>
      <c r="K99" s="568"/>
      <c r="L99" s="568"/>
      <c r="M99" s="566">
        <f t="shared" si="50"/>
        <v>275392</v>
      </c>
      <c r="N99" s="568">
        <v>1</v>
      </c>
      <c r="O99" s="568" t="s">
        <v>886</v>
      </c>
      <c r="P99" s="578">
        <v>3.21</v>
      </c>
      <c r="Q99" s="572">
        <v>267072</v>
      </c>
      <c r="R99" s="572">
        <v>0</v>
      </c>
      <c r="S99" s="572">
        <v>0</v>
      </c>
      <c r="T99" s="582">
        <f t="shared" si="51"/>
        <v>267072</v>
      </c>
      <c r="U99" s="566">
        <f t="shared" si="52"/>
        <v>0</v>
      </c>
      <c r="V99" s="566">
        <f t="shared" si="53"/>
        <v>8320</v>
      </c>
      <c r="W99" s="566">
        <f t="shared" si="53"/>
        <v>0</v>
      </c>
      <c r="X99" s="566">
        <f t="shared" si="53"/>
        <v>0</v>
      </c>
      <c r="Y99" s="566">
        <f t="shared" si="54"/>
        <v>8320</v>
      </c>
      <c r="Z99" s="568"/>
      <c r="AA99" s="568" t="s">
        <v>887</v>
      </c>
      <c r="AB99" s="568">
        <v>3.42</v>
      </c>
      <c r="AC99" s="568">
        <v>284544</v>
      </c>
      <c r="AD99" s="568"/>
      <c r="AE99" s="568"/>
      <c r="AF99" s="566">
        <f t="shared" si="55"/>
        <v>284544</v>
      </c>
      <c r="AG99" s="568"/>
      <c r="AH99" s="568" t="s">
        <v>888</v>
      </c>
      <c r="AI99" s="568">
        <v>3.53</v>
      </c>
      <c r="AJ99" s="568">
        <v>293696</v>
      </c>
      <c r="AK99" s="568"/>
      <c r="AL99" s="568"/>
      <c r="AM99" s="566">
        <f t="shared" si="26"/>
        <v>293696</v>
      </c>
    </row>
    <row r="100" spans="1:39" s="595" customFormat="1" ht="38.25">
      <c r="A100" s="568">
        <v>6</v>
      </c>
      <c r="B100" s="576" t="s">
        <v>889</v>
      </c>
      <c r="C100" s="573" t="s">
        <v>639</v>
      </c>
      <c r="D100" s="570">
        <v>1979</v>
      </c>
      <c r="E100" s="576" t="s">
        <v>890</v>
      </c>
      <c r="F100" s="572" t="s">
        <v>891</v>
      </c>
      <c r="G100" s="568">
        <v>1</v>
      </c>
      <c r="H100" s="568" t="s">
        <v>769</v>
      </c>
      <c r="I100" s="578">
        <v>4.4</v>
      </c>
      <c r="J100" s="572">
        <v>366080</v>
      </c>
      <c r="K100" s="568"/>
      <c r="L100" s="568"/>
      <c r="M100" s="566">
        <f t="shared" si="50"/>
        <v>366080</v>
      </c>
      <c r="N100" s="568">
        <v>1</v>
      </c>
      <c r="O100" s="568" t="s">
        <v>770</v>
      </c>
      <c r="P100" s="578">
        <v>4.4</v>
      </c>
      <c r="Q100" s="572">
        <v>366080</v>
      </c>
      <c r="R100" s="572">
        <v>0</v>
      </c>
      <c r="S100" s="572">
        <v>0</v>
      </c>
      <c r="T100" s="582">
        <f t="shared" si="51"/>
        <v>366080</v>
      </c>
      <c r="U100" s="566">
        <f t="shared" si="52"/>
        <v>0</v>
      </c>
      <c r="V100" s="566">
        <f t="shared" si="53"/>
        <v>0</v>
      </c>
      <c r="W100" s="566">
        <f t="shared" si="53"/>
        <v>0</v>
      </c>
      <c r="X100" s="566">
        <f t="shared" si="53"/>
        <v>0</v>
      </c>
      <c r="Y100" s="566">
        <f t="shared" si="54"/>
        <v>0</v>
      </c>
      <c r="Z100" s="568"/>
      <c r="AA100" s="568" t="s">
        <v>771</v>
      </c>
      <c r="AB100" s="578">
        <v>4.4</v>
      </c>
      <c r="AC100" s="572">
        <v>366080</v>
      </c>
      <c r="AD100" s="568"/>
      <c r="AE100" s="568"/>
      <c r="AF100" s="566">
        <f t="shared" si="55"/>
        <v>366080</v>
      </c>
      <c r="AG100" s="568"/>
      <c r="AH100" s="568" t="s">
        <v>772</v>
      </c>
      <c r="AI100" s="578">
        <v>4.4</v>
      </c>
      <c r="AJ100" s="572">
        <v>366080</v>
      </c>
      <c r="AK100" s="568"/>
      <c r="AL100" s="568"/>
      <c r="AM100" s="566">
        <f t="shared" si="26"/>
        <v>366080</v>
      </c>
    </row>
    <row r="101" spans="1:39" s="595" customFormat="1" ht="76.5">
      <c r="A101" s="568">
        <v>7</v>
      </c>
      <c r="B101" s="576" t="s">
        <v>892</v>
      </c>
      <c r="C101" s="573" t="s">
        <v>639</v>
      </c>
      <c r="D101" s="570">
        <v>1963</v>
      </c>
      <c r="E101" s="576" t="s">
        <v>893</v>
      </c>
      <c r="F101" s="572" t="s">
        <v>894</v>
      </c>
      <c r="G101" s="568">
        <v>1</v>
      </c>
      <c r="H101" s="568" t="s">
        <v>895</v>
      </c>
      <c r="I101" s="578">
        <v>3.64</v>
      </c>
      <c r="J101" s="572">
        <v>302848</v>
      </c>
      <c r="K101" s="568"/>
      <c r="L101" s="568"/>
      <c r="M101" s="566">
        <f t="shared" si="50"/>
        <v>302848</v>
      </c>
      <c r="N101" s="568">
        <v>1</v>
      </c>
      <c r="O101" s="568" t="s">
        <v>896</v>
      </c>
      <c r="P101" s="578">
        <v>3.64</v>
      </c>
      <c r="Q101" s="572">
        <v>302848</v>
      </c>
      <c r="R101" s="572">
        <v>0</v>
      </c>
      <c r="S101" s="572">
        <v>0</v>
      </c>
      <c r="T101" s="582">
        <f t="shared" si="51"/>
        <v>302848</v>
      </c>
      <c r="U101" s="566">
        <f t="shared" si="52"/>
        <v>0</v>
      </c>
      <c r="V101" s="566">
        <f t="shared" si="53"/>
        <v>0</v>
      </c>
      <c r="W101" s="566">
        <f t="shared" si="53"/>
        <v>0</v>
      </c>
      <c r="X101" s="566">
        <f t="shared" si="53"/>
        <v>0</v>
      </c>
      <c r="Y101" s="566">
        <f t="shared" si="54"/>
        <v>0</v>
      </c>
      <c r="Z101" s="568"/>
      <c r="AA101" s="568" t="s">
        <v>897</v>
      </c>
      <c r="AB101" s="578">
        <v>3.64</v>
      </c>
      <c r="AC101" s="572">
        <v>302848</v>
      </c>
      <c r="AD101" s="568"/>
      <c r="AE101" s="568"/>
      <c r="AF101" s="566">
        <f t="shared" si="55"/>
        <v>302848</v>
      </c>
      <c r="AG101" s="568"/>
      <c r="AH101" s="568" t="s">
        <v>898</v>
      </c>
      <c r="AI101" s="578">
        <v>3.64</v>
      </c>
      <c r="AJ101" s="572">
        <v>302848</v>
      </c>
      <c r="AK101" s="568"/>
      <c r="AL101" s="568"/>
      <c r="AM101" s="566">
        <f t="shared" si="26"/>
        <v>302848</v>
      </c>
    </row>
    <row r="102" spans="1:39" s="595" customFormat="1" ht="51">
      <c r="A102" s="568">
        <v>8</v>
      </c>
      <c r="B102" s="576" t="s">
        <v>899</v>
      </c>
      <c r="C102" s="573" t="s">
        <v>639</v>
      </c>
      <c r="D102" s="570">
        <v>1966</v>
      </c>
      <c r="E102" s="576" t="s">
        <v>900</v>
      </c>
      <c r="F102" s="572" t="s">
        <v>901</v>
      </c>
      <c r="G102" s="568">
        <v>1</v>
      </c>
      <c r="H102" s="568" t="s">
        <v>763</v>
      </c>
      <c r="I102" s="578">
        <v>3.02</v>
      </c>
      <c r="J102" s="572">
        <v>251264</v>
      </c>
      <c r="K102" s="568"/>
      <c r="L102" s="568"/>
      <c r="M102" s="566">
        <f t="shared" si="50"/>
        <v>251264</v>
      </c>
      <c r="N102" s="568">
        <v>1</v>
      </c>
      <c r="O102" s="568" t="s">
        <v>764</v>
      </c>
      <c r="P102" s="578">
        <v>3.02</v>
      </c>
      <c r="Q102" s="572">
        <v>251264</v>
      </c>
      <c r="R102" s="572">
        <v>0</v>
      </c>
      <c r="S102" s="572">
        <v>0</v>
      </c>
      <c r="T102" s="582">
        <f t="shared" si="51"/>
        <v>251264</v>
      </c>
      <c r="U102" s="566">
        <f t="shared" si="52"/>
        <v>0</v>
      </c>
      <c r="V102" s="566">
        <f t="shared" si="53"/>
        <v>0</v>
      </c>
      <c r="W102" s="566">
        <f t="shared" si="53"/>
        <v>0</v>
      </c>
      <c r="X102" s="566">
        <f t="shared" si="53"/>
        <v>0</v>
      </c>
      <c r="Y102" s="566">
        <f t="shared" si="54"/>
        <v>0</v>
      </c>
      <c r="Z102" s="568"/>
      <c r="AA102" s="568" t="s">
        <v>765</v>
      </c>
      <c r="AB102" s="568">
        <v>3.11</v>
      </c>
      <c r="AC102" s="568">
        <v>258752</v>
      </c>
      <c r="AD102" s="568"/>
      <c r="AE102" s="568"/>
      <c r="AF102" s="566">
        <f t="shared" si="55"/>
        <v>258752</v>
      </c>
      <c r="AG102" s="568"/>
      <c r="AH102" s="568" t="s">
        <v>766</v>
      </c>
      <c r="AI102" s="568">
        <v>3.11</v>
      </c>
      <c r="AJ102" s="568">
        <v>258752</v>
      </c>
      <c r="AK102" s="568"/>
      <c r="AL102" s="568"/>
      <c r="AM102" s="566">
        <f t="shared" si="26"/>
        <v>258752</v>
      </c>
    </row>
    <row r="103" spans="1:39" s="595" customFormat="1" ht="38.25">
      <c r="A103" s="568">
        <v>9</v>
      </c>
      <c r="B103" s="570" t="s">
        <v>902</v>
      </c>
      <c r="C103" s="573" t="s">
        <v>639</v>
      </c>
      <c r="D103" s="570">
        <v>1990</v>
      </c>
      <c r="E103" s="576" t="s">
        <v>903</v>
      </c>
      <c r="F103" s="572" t="s">
        <v>904</v>
      </c>
      <c r="G103" s="568">
        <v>1</v>
      </c>
      <c r="H103" s="568" t="s">
        <v>841</v>
      </c>
      <c r="I103" s="578">
        <v>3.53</v>
      </c>
      <c r="J103" s="572">
        <v>293696</v>
      </c>
      <c r="K103" s="568"/>
      <c r="L103" s="568"/>
      <c r="M103" s="566">
        <f t="shared" si="50"/>
        <v>293696</v>
      </c>
      <c r="N103" s="568">
        <v>1</v>
      </c>
      <c r="O103" s="568" t="s">
        <v>905</v>
      </c>
      <c r="P103" s="578">
        <v>3.53</v>
      </c>
      <c r="Q103" s="572">
        <v>293696</v>
      </c>
      <c r="R103" s="572">
        <v>0</v>
      </c>
      <c r="S103" s="572">
        <v>0</v>
      </c>
      <c r="T103" s="582">
        <f t="shared" si="51"/>
        <v>293696</v>
      </c>
      <c r="U103" s="566">
        <f t="shared" si="52"/>
        <v>0</v>
      </c>
      <c r="V103" s="566">
        <f t="shared" si="53"/>
        <v>0</v>
      </c>
      <c r="W103" s="566">
        <f t="shared" si="53"/>
        <v>0</v>
      </c>
      <c r="X103" s="566">
        <f t="shared" si="53"/>
        <v>0</v>
      </c>
      <c r="Y103" s="566">
        <f t="shared" si="54"/>
        <v>0</v>
      </c>
      <c r="Z103" s="568"/>
      <c r="AA103" s="568" t="s">
        <v>727</v>
      </c>
      <c r="AB103" s="568">
        <v>3.53</v>
      </c>
      <c r="AC103" s="568">
        <v>293696</v>
      </c>
      <c r="AD103" s="568"/>
      <c r="AE103" s="568"/>
      <c r="AF103" s="566">
        <f t="shared" si="55"/>
        <v>293696</v>
      </c>
      <c r="AG103" s="568"/>
      <c r="AH103" s="568" t="s">
        <v>726</v>
      </c>
      <c r="AI103" s="568">
        <v>3.64</v>
      </c>
      <c r="AJ103" s="568">
        <v>302848</v>
      </c>
      <c r="AK103" s="568"/>
      <c r="AL103" s="568"/>
      <c r="AM103" s="566">
        <f t="shared" si="26"/>
        <v>302848</v>
      </c>
    </row>
    <row r="104" spans="1:39" s="595" customFormat="1" ht="51">
      <c r="A104" s="568">
        <v>10</v>
      </c>
      <c r="B104" s="576" t="s">
        <v>906</v>
      </c>
      <c r="C104" s="573" t="s">
        <v>639</v>
      </c>
      <c r="D104" s="570">
        <v>1976</v>
      </c>
      <c r="E104" s="570" t="s">
        <v>907</v>
      </c>
      <c r="F104" s="572" t="s">
        <v>908</v>
      </c>
      <c r="G104" s="568">
        <v>1</v>
      </c>
      <c r="H104" s="568" t="s">
        <v>909</v>
      </c>
      <c r="I104" s="578">
        <v>3.64</v>
      </c>
      <c r="J104" s="572">
        <v>302848</v>
      </c>
      <c r="K104" s="568"/>
      <c r="L104" s="568"/>
      <c r="M104" s="566">
        <f t="shared" si="50"/>
        <v>302848</v>
      </c>
      <c r="N104" s="568">
        <v>1</v>
      </c>
      <c r="O104" s="568" t="s">
        <v>910</v>
      </c>
      <c r="P104" s="578">
        <v>3.64</v>
      </c>
      <c r="Q104" s="572">
        <v>302848</v>
      </c>
      <c r="R104" s="572">
        <v>0</v>
      </c>
      <c r="S104" s="572">
        <v>0</v>
      </c>
      <c r="T104" s="582">
        <f t="shared" si="51"/>
        <v>302848</v>
      </c>
      <c r="U104" s="566">
        <f t="shared" si="52"/>
        <v>0</v>
      </c>
      <c r="V104" s="566">
        <f t="shared" si="53"/>
        <v>0</v>
      </c>
      <c r="W104" s="566">
        <f t="shared" si="53"/>
        <v>0</v>
      </c>
      <c r="X104" s="566">
        <f t="shared" si="53"/>
        <v>0</v>
      </c>
      <c r="Y104" s="566">
        <f t="shared" si="54"/>
        <v>0</v>
      </c>
      <c r="Z104" s="568"/>
      <c r="AA104" s="568" t="s">
        <v>911</v>
      </c>
      <c r="AB104" s="578">
        <v>3.64</v>
      </c>
      <c r="AC104" s="572">
        <v>302848</v>
      </c>
      <c r="AD104" s="568"/>
      <c r="AE104" s="568"/>
      <c r="AF104" s="566">
        <f t="shared" si="55"/>
        <v>302848</v>
      </c>
      <c r="AG104" s="568"/>
      <c r="AH104" s="568" t="s">
        <v>912</v>
      </c>
      <c r="AI104" s="578">
        <v>3.64</v>
      </c>
      <c r="AJ104" s="572">
        <v>302848</v>
      </c>
      <c r="AK104" s="568"/>
      <c r="AL104" s="568"/>
      <c r="AM104" s="566">
        <f t="shared" si="26"/>
        <v>302848</v>
      </c>
    </row>
    <row r="105" spans="1:39" s="595" customFormat="1" ht="51">
      <c r="A105" s="568">
        <v>11</v>
      </c>
      <c r="B105" s="576" t="s">
        <v>913</v>
      </c>
      <c r="C105" s="573" t="s">
        <v>639</v>
      </c>
      <c r="D105" s="568">
        <v>1995</v>
      </c>
      <c r="E105" s="570" t="s">
        <v>907</v>
      </c>
      <c r="F105" s="572" t="s">
        <v>914</v>
      </c>
      <c r="G105" s="568">
        <v>1</v>
      </c>
      <c r="H105" s="568" t="s">
        <v>915</v>
      </c>
      <c r="I105" s="568">
        <v>2.75</v>
      </c>
      <c r="J105" s="568">
        <v>228800</v>
      </c>
      <c r="K105" s="568"/>
      <c r="L105" s="568"/>
      <c r="M105" s="566">
        <f t="shared" si="50"/>
        <v>228800</v>
      </c>
      <c r="N105" s="568">
        <v>1</v>
      </c>
      <c r="O105" s="568" t="s">
        <v>916</v>
      </c>
      <c r="P105" s="578">
        <v>2.66</v>
      </c>
      <c r="Q105" s="572">
        <v>221312</v>
      </c>
      <c r="R105" s="572">
        <v>0</v>
      </c>
      <c r="S105" s="572">
        <v>0</v>
      </c>
      <c r="T105" s="582">
        <f t="shared" si="51"/>
        <v>221312</v>
      </c>
      <c r="U105" s="566">
        <f t="shared" si="52"/>
        <v>0</v>
      </c>
      <c r="V105" s="566">
        <f t="shared" si="53"/>
        <v>7488</v>
      </c>
      <c r="W105" s="566">
        <f t="shared" si="53"/>
        <v>0</v>
      </c>
      <c r="X105" s="566">
        <f t="shared" si="53"/>
        <v>0</v>
      </c>
      <c r="Y105" s="566">
        <f t="shared" si="54"/>
        <v>7488</v>
      </c>
      <c r="Z105" s="568"/>
      <c r="AA105" s="568" t="s">
        <v>627</v>
      </c>
      <c r="AB105" s="568">
        <v>2.83</v>
      </c>
      <c r="AC105" s="568">
        <v>235456</v>
      </c>
      <c r="AD105" s="568"/>
      <c r="AE105" s="568"/>
      <c r="AF105" s="566">
        <f t="shared" si="55"/>
        <v>235456</v>
      </c>
      <c r="AG105" s="568"/>
      <c r="AH105" s="568" t="s">
        <v>626</v>
      </c>
      <c r="AI105" s="568">
        <v>2.92</v>
      </c>
      <c r="AJ105" s="568">
        <v>242944</v>
      </c>
      <c r="AK105" s="568"/>
      <c r="AL105" s="568"/>
      <c r="AM105" s="566">
        <f t="shared" si="26"/>
        <v>242944</v>
      </c>
    </row>
    <row r="106" spans="1:39" s="595" customFormat="1" ht="51">
      <c r="A106" s="568">
        <v>12</v>
      </c>
      <c r="B106" s="570" t="s">
        <v>917</v>
      </c>
      <c r="C106" s="573" t="s">
        <v>639</v>
      </c>
      <c r="D106" s="568">
        <v>1995</v>
      </c>
      <c r="E106" s="570" t="s">
        <v>907</v>
      </c>
      <c r="F106" s="572" t="s">
        <v>918</v>
      </c>
      <c r="G106" s="568">
        <v>1</v>
      </c>
      <c r="H106" s="568" t="s">
        <v>795</v>
      </c>
      <c r="I106" s="568">
        <v>2.75</v>
      </c>
      <c r="J106" s="568">
        <v>228800</v>
      </c>
      <c r="K106" s="568"/>
      <c r="L106" s="568"/>
      <c r="M106" s="566">
        <f t="shared" si="50"/>
        <v>228800</v>
      </c>
      <c r="N106" s="568">
        <v>1</v>
      </c>
      <c r="O106" s="568" t="s">
        <v>796</v>
      </c>
      <c r="P106" s="578">
        <v>2.66</v>
      </c>
      <c r="Q106" s="572">
        <v>221312</v>
      </c>
      <c r="R106" s="572">
        <v>0</v>
      </c>
      <c r="S106" s="572">
        <v>0</v>
      </c>
      <c r="T106" s="582">
        <f t="shared" si="51"/>
        <v>221312</v>
      </c>
      <c r="U106" s="566">
        <f t="shared" si="52"/>
        <v>0</v>
      </c>
      <c r="V106" s="566">
        <f t="shared" si="53"/>
        <v>7488</v>
      </c>
      <c r="W106" s="566">
        <f t="shared" si="53"/>
        <v>0</v>
      </c>
      <c r="X106" s="566">
        <f t="shared" si="53"/>
        <v>0</v>
      </c>
      <c r="Y106" s="566">
        <f t="shared" si="54"/>
        <v>7488</v>
      </c>
      <c r="Z106" s="568"/>
      <c r="AA106" s="568" t="s">
        <v>797</v>
      </c>
      <c r="AB106" s="568">
        <v>2.83</v>
      </c>
      <c r="AC106" s="568">
        <v>235456</v>
      </c>
      <c r="AD106" s="568"/>
      <c r="AE106" s="568"/>
      <c r="AF106" s="566">
        <f t="shared" si="55"/>
        <v>235456</v>
      </c>
      <c r="AG106" s="568"/>
      <c r="AH106" s="568" t="s">
        <v>628</v>
      </c>
      <c r="AI106" s="568">
        <v>2.92</v>
      </c>
      <c r="AJ106" s="568">
        <v>242944</v>
      </c>
      <c r="AK106" s="568"/>
      <c r="AL106" s="568"/>
      <c r="AM106" s="566">
        <f t="shared" si="26"/>
        <v>242944</v>
      </c>
    </row>
    <row r="107" spans="1:39" s="596" customFormat="1" ht="12.75">
      <c r="A107" s="564"/>
      <c r="B107" s="565" t="s">
        <v>120</v>
      </c>
      <c r="C107" s="565"/>
      <c r="D107" s="575" t="s">
        <v>1</v>
      </c>
      <c r="E107" s="575" t="s">
        <v>1</v>
      </c>
      <c r="F107" s="575" t="s">
        <v>1</v>
      </c>
      <c r="G107" s="575">
        <f>SUM(G95:G106)</f>
        <v>12</v>
      </c>
      <c r="H107" s="575" t="s">
        <v>1</v>
      </c>
      <c r="I107" s="575" t="s">
        <v>1</v>
      </c>
      <c r="J107" s="575">
        <f>SUM(J95:J106)</f>
        <v>3651648</v>
      </c>
      <c r="K107" s="575">
        <f>SUM(K95:K106)</f>
        <v>0</v>
      </c>
      <c r="L107" s="575">
        <f>SUM(L95:L106)</f>
        <v>0</v>
      </c>
      <c r="M107" s="575">
        <f>SUM(M95:M106)</f>
        <v>3651648</v>
      </c>
      <c r="N107" s="575">
        <f>SUM(N95:N106)</f>
        <v>12</v>
      </c>
      <c r="O107" s="575" t="s">
        <v>1</v>
      </c>
      <c r="P107" s="575" t="s">
        <v>1</v>
      </c>
      <c r="Q107" s="575">
        <f>SUM(Q95:Q106)</f>
        <v>3610048</v>
      </c>
      <c r="R107" s="575">
        <f>SUM(R95:R106)</f>
        <v>0</v>
      </c>
      <c r="S107" s="581">
        <f>SUM(S95:S106)</f>
        <v>0</v>
      </c>
      <c r="T107" s="575">
        <f>SUM(T95:T106)</f>
        <v>3610048</v>
      </c>
      <c r="U107" s="575">
        <f aca="true" t="shared" si="56" ref="U107:Z107">SUM(U104:U106)</f>
        <v>0</v>
      </c>
      <c r="V107" s="575">
        <f t="shared" si="56"/>
        <v>14976</v>
      </c>
      <c r="W107" s="575">
        <f t="shared" si="56"/>
        <v>0</v>
      </c>
      <c r="X107" s="575">
        <f t="shared" si="56"/>
        <v>0</v>
      </c>
      <c r="Y107" s="575">
        <f t="shared" si="56"/>
        <v>14976</v>
      </c>
      <c r="Z107" s="575">
        <f t="shared" si="56"/>
        <v>0</v>
      </c>
      <c r="AA107" s="575" t="s">
        <v>1</v>
      </c>
      <c r="AB107" s="575" t="s">
        <v>1</v>
      </c>
      <c r="AC107" s="575">
        <f>SUM(AC95:AC106)</f>
        <v>3704064</v>
      </c>
      <c r="AD107" s="575">
        <f>SUM(AD95:AD106)</f>
        <v>0</v>
      </c>
      <c r="AE107" s="575">
        <f>SUM(AE95:AE106)</f>
        <v>0</v>
      </c>
      <c r="AF107" s="575">
        <f>SUM(AF95:AF106)</f>
        <v>3704064</v>
      </c>
      <c r="AG107" s="575">
        <f>SUM(AG95:AG106)</f>
        <v>0</v>
      </c>
      <c r="AH107" s="575" t="s">
        <v>1</v>
      </c>
      <c r="AI107" s="575" t="s">
        <v>1</v>
      </c>
      <c r="AJ107" s="575">
        <f>SUM(AJ95:AJ106)</f>
        <v>3746496</v>
      </c>
      <c r="AK107" s="575">
        <f>SUM(AK95:AK106)</f>
        <v>0</v>
      </c>
      <c r="AL107" s="575">
        <f>SUM(AL95:AL106)</f>
        <v>0</v>
      </c>
      <c r="AM107" s="566">
        <f aca="true" t="shared" si="57" ref="AM107:AM126">AJ107+AK107+AL107</f>
        <v>3746496</v>
      </c>
    </row>
    <row r="108" spans="1:39" s="595" customFormat="1" ht="12.75">
      <c r="A108" s="568"/>
      <c r="B108" s="574" t="s">
        <v>606</v>
      </c>
      <c r="C108" s="569"/>
      <c r="D108" s="566"/>
      <c r="E108" s="566"/>
      <c r="F108" s="566"/>
      <c r="G108" s="568"/>
      <c r="H108" s="566"/>
      <c r="I108" s="566"/>
      <c r="J108" s="568"/>
      <c r="K108" s="568"/>
      <c r="L108" s="568"/>
      <c r="M108" s="568"/>
      <c r="N108" s="568"/>
      <c r="O108" s="566"/>
      <c r="P108" s="566"/>
      <c r="Q108" s="579"/>
      <c r="R108" s="579"/>
      <c r="S108" s="579"/>
      <c r="T108" s="579"/>
      <c r="U108" s="568"/>
      <c r="V108" s="568"/>
      <c r="W108" s="568"/>
      <c r="X108" s="568"/>
      <c r="Y108" s="568"/>
      <c r="Z108" s="568"/>
      <c r="AA108" s="566"/>
      <c r="AB108" s="566"/>
      <c r="AC108" s="568"/>
      <c r="AD108" s="568"/>
      <c r="AE108" s="568"/>
      <c r="AF108" s="568"/>
      <c r="AG108" s="568"/>
      <c r="AH108" s="566"/>
      <c r="AI108" s="566"/>
      <c r="AJ108" s="568"/>
      <c r="AK108" s="568"/>
      <c r="AL108" s="568"/>
      <c r="AM108" s="566">
        <f t="shared" si="57"/>
        <v>0</v>
      </c>
    </row>
    <row r="109" spans="1:39" s="595" customFormat="1" ht="25.5">
      <c r="A109" s="568">
        <v>1</v>
      </c>
      <c r="B109" s="576" t="s">
        <v>919</v>
      </c>
      <c r="C109" s="573" t="s">
        <v>639</v>
      </c>
      <c r="D109" s="568">
        <v>1979</v>
      </c>
      <c r="E109" s="586" t="s">
        <v>662</v>
      </c>
      <c r="F109" s="572" t="s">
        <v>920</v>
      </c>
      <c r="G109" s="568">
        <v>1</v>
      </c>
      <c r="H109" s="568" t="s">
        <v>780</v>
      </c>
      <c r="I109" s="568">
        <v>4.14</v>
      </c>
      <c r="J109" s="568">
        <v>344448</v>
      </c>
      <c r="K109" s="568"/>
      <c r="L109" s="568"/>
      <c r="M109" s="566">
        <f>J109+K109+L109</f>
        <v>344448</v>
      </c>
      <c r="N109" s="568">
        <v>1</v>
      </c>
      <c r="O109" s="568" t="s">
        <v>921</v>
      </c>
      <c r="P109" s="580">
        <v>4.01</v>
      </c>
      <c r="Q109" s="572">
        <v>333632</v>
      </c>
      <c r="R109" s="572">
        <v>0</v>
      </c>
      <c r="S109" s="572">
        <v>0</v>
      </c>
      <c r="T109" s="572">
        <v>333632</v>
      </c>
      <c r="U109" s="582">
        <f>+G109-N109</f>
        <v>0</v>
      </c>
      <c r="V109" s="566">
        <f aca="true" t="shared" si="58" ref="V109:X110">J109-Q109</f>
        <v>10816</v>
      </c>
      <c r="W109" s="566">
        <f t="shared" si="58"/>
        <v>0</v>
      </c>
      <c r="X109" s="566">
        <f t="shared" si="58"/>
        <v>0</v>
      </c>
      <c r="Y109" s="566">
        <f>V109+W109+X109</f>
        <v>10816</v>
      </c>
      <c r="Z109" s="568"/>
      <c r="AA109" s="568" t="s">
        <v>779</v>
      </c>
      <c r="AB109" s="568">
        <v>4.27</v>
      </c>
      <c r="AC109" s="568">
        <v>355263.99999999994</v>
      </c>
      <c r="AD109" s="568"/>
      <c r="AE109" s="568"/>
      <c r="AF109" s="566">
        <f>AC109+AD109+AE109</f>
        <v>355263.99999999994</v>
      </c>
      <c r="AG109" s="568"/>
      <c r="AH109" s="568" t="s">
        <v>781</v>
      </c>
      <c r="AI109" s="568">
        <v>4.27</v>
      </c>
      <c r="AJ109" s="568">
        <v>355263.99999999994</v>
      </c>
      <c r="AK109" s="568"/>
      <c r="AL109" s="568"/>
      <c r="AM109" s="566">
        <f t="shared" si="57"/>
        <v>355263.99999999994</v>
      </c>
    </row>
    <row r="110" spans="1:39" s="595" customFormat="1" ht="25.5">
      <c r="A110" s="568">
        <v>2</v>
      </c>
      <c r="B110" s="576" t="s">
        <v>922</v>
      </c>
      <c r="C110" s="573" t="s">
        <v>639</v>
      </c>
      <c r="D110" s="570">
        <v>1959</v>
      </c>
      <c r="E110" s="586" t="s">
        <v>695</v>
      </c>
      <c r="F110" s="572" t="s">
        <v>923</v>
      </c>
      <c r="G110" s="568">
        <v>1</v>
      </c>
      <c r="H110" s="568" t="s">
        <v>924</v>
      </c>
      <c r="I110" s="580">
        <v>3.64</v>
      </c>
      <c r="J110" s="572">
        <v>302848</v>
      </c>
      <c r="K110" s="568"/>
      <c r="L110" s="568">
        <v>15142.4</v>
      </c>
      <c r="M110" s="566">
        <f>J110+K110+L110</f>
        <v>317990.4</v>
      </c>
      <c r="N110" s="568">
        <v>1</v>
      </c>
      <c r="O110" s="568" t="s">
        <v>925</v>
      </c>
      <c r="P110" s="580">
        <v>3.64</v>
      </c>
      <c r="Q110" s="572">
        <v>302848</v>
      </c>
      <c r="R110" s="572">
        <v>0</v>
      </c>
      <c r="S110" s="572">
        <v>15142.4</v>
      </c>
      <c r="T110" s="572">
        <v>317990</v>
      </c>
      <c r="U110" s="582">
        <f>+G110-N110</f>
        <v>0</v>
      </c>
      <c r="V110" s="566">
        <f t="shared" si="58"/>
        <v>0</v>
      </c>
      <c r="W110" s="566">
        <f t="shared" si="58"/>
        <v>0</v>
      </c>
      <c r="X110" s="566">
        <f t="shared" si="58"/>
        <v>0</v>
      </c>
      <c r="Y110" s="566">
        <f>V110+W110+X110</f>
        <v>0</v>
      </c>
      <c r="Z110" s="568"/>
      <c r="AA110" s="568" t="s">
        <v>711</v>
      </c>
      <c r="AB110" s="580">
        <v>3.64</v>
      </c>
      <c r="AC110" s="572">
        <v>302848</v>
      </c>
      <c r="AD110" s="568"/>
      <c r="AE110" s="568">
        <v>15142.4</v>
      </c>
      <c r="AF110" s="566">
        <f>AC110+AD110+AE110</f>
        <v>317990.4</v>
      </c>
      <c r="AG110" s="568"/>
      <c r="AH110" s="568" t="s">
        <v>710</v>
      </c>
      <c r="AI110" s="580">
        <v>3.64</v>
      </c>
      <c r="AJ110" s="572">
        <v>302848</v>
      </c>
      <c r="AK110" s="568"/>
      <c r="AL110" s="568">
        <v>15142.4</v>
      </c>
      <c r="AM110" s="566">
        <f t="shared" si="57"/>
        <v>317990.4</v>
      </c>
    </row>
    <row r="111" spans="1:39" s="596" customFormat="1" ht="12.75">
      <c r="A111" s="564"/>
      <c r="B111" s="565" t="s">
        <v>120</v>
      </c>
      <c r="C111" s="565"/>
      <c r="D111" s="575" t="s">
        <v>1</v>
      </c>
      <c r="E111" s="575" t="s">
        <v>1</v>
      </c>
      <c r="F111" s="575" t="s">
        <v>1</v>
      </c>
      <c r="G111" s="575">
        <f>SUM(G109:G110)</f>
        <v>2</v>
      </c>
      <c r="H111" s="575" t="s">
        <v>1</v>
      </c>
      <c r="I111" s="575" t="s">
        <v>1</v>
      </c>
      <c r="J111" s="575">
        <f>SUM(J109:J110)</f>
        <v>647296</v>
      </c>
      <c r="K111" s="575">
        <f>SUM(K109:K110)</f>
        <v>0</v>
      </c>
      <c r="L111" s="575">
        <f>SUM(L109:L110)</f>
        <v>15142.4</v>
      </c>
      <c r="M111" s="575">
        <f>SUM(M109:M110)</f>
        <v>662438.4</v>
      </c>
      <c r="N111" s="575">
        <f>SUM(N109:N110)</f>
        <v>2</v>
      </c>
      <c r="O111" s="575" t="s">
        <v>1</v>
      </c>
      <c r="P111" s="575" t="s">
        <v>1</v>
      </c>
      <c r="Q111" s="581">
        <f aca="true" t="shared" si="59" ref="Q111:Z111">SUM(Q109:Q110)</f>
        <v>636480</v>
      </c>
      <c r="R111" s="581">
        <f t="shared" si="59"/>
        <v>0</v>
      </c>
      <c r="S111" s="581">
        <f t="shared" si="59"/>
        <v>15142.4</v>
      </c>
      <c r="T111" s="581">
        <f t="shared" si="59"/>
        <v>651622</v>
      </c>
      <c r="U111" s="575">
        <f t="shared" si="59"/>
        <v>0</v>
      </c>
      <c r="V111" s="575">
        <f t="shared" si="59"/>
        <v>10816</v>
      </c>
      <c r="W111" s="575">
        <f t="shared" si="59"/>
        <v>0</v>
      </c>
      <c r="X111" s="575">
        <f t="shared" si="59"/>
        <v>0</v>
      </c>
      <c r="Y111" s="575">
        <f t="shared" si="59"/>
        <v>10816</v>
      </c>
      <c r="Z111" s="575">
        <f t="shared" si="59"/>
        <v>0</v>
      </c>
      <c r="AA111" s="575" t="s">
        <v>1</v>
      </c>
      <c r="AB111" s="575" t="s">
        <v>1</v>
      </c>
      <c r="AC111" s="575">
        <f>SUM(AC109:AC110)</f>
        <v>658112</v>
      </c>
      <c r="AD111" s="575">
        <f>SUM(AD109:AD110)</f>
        <v>0</v>
      </c>
      <c r="AE111" s="575">
        <f>SUM(AE109:AE110)</f>
        <v>15142.4</v>
      </c>
      <c r="AF111" s="575">
        <f>SUM(AF109:AF110)</f>
        <v>673254.3999999999</v>
      </c>
      <c r="AG111" s="575">
        <f>SUM(AG109:AG110)</f>
        <v>0</v>
      </c>
      <c r="AH111" s="575" t="s">
        <v>1</v>
      </c>
      <c r="AI111" s="575" t="s">
        <v>1</v>
      </c>
      <c r="AJ111" s="575">
        <f>SUM(AJ109:AJ110)</f>
        <v>658112</v>
      </c>
      <c r="AK111" s="575">
        <f>SUM(AK109:AK110)</f>
        <v>0</v>
      </c>
      <c r="AL111" s="575">
        <f>SUM(AL109:AL110)</f>
        <v>15142.4</v>
      </c>
      <c r="AM111" s="566">
        <f t="shared" si="57"/>
        <v>673254.4</v>
      </c>
    </row>
    <row r="112" spans="1:39" s="596" customFormat="1" ht="25.5">
      <c r="A112" s="564"/>
      <c r="B112" s="565" t="s">
        <v>121</v>
      </c>
      <c r="C112" s="565"/>
      <c r="D112" s="575" t="s">
        <v>1</v>
      </c>
      <c r="E112" s="575" t="s">
        <v>1</v>
      </c>
      <c r="F112" s="575" t="s">
        <v>1</v>
      </c>
      <c r="G112" s="575">
        <f>G26+G41+G52+G59+G68+G73+G79+G83+G93+G107+G111</f>
        <v>64</v>
      </c>
      <c r="H112" s="575" t="s">
        <v>1</v>
      </c>
      <c r="I112" s="575" t="s">
        <v>1</v>
      </c>
      <c r="J112" s="575">
        <f>J26+J41+J52+J59+J68+J73+J79+J83+J93+J107+J111</f>
        <v>19913088</v>
      </c>
      <c r="K112" s="575">
        <f>K26+K41+K52+K59+K68+K73+K79+K83+K93+K107+K111</f>
        <v>0</v>
      </c>
      <c r="L112" s="575">
        <f>L26+L41+L52+L59+L68+L73+L79+L83+L93+L107+L111</f>
        <v>159245</v>
      </c>
      <c r="M112" s="575">
        <f>M26+M41+M52+M59+M68+M73+M79+M83+M93+M107+M111</f>
        <v>20072333</v>
      </c>
      <c r="N112" s="575">
        <f>N26+N41+N52+N59+N68+N73+N79+N83+N93+N107+N111</f>
        <v>64</v>
      </c>
      <c r="O112" s="575" t="s">
        <v>1</v>
      </c>
      <c r="P112" s="575" t="s">
        <v>1</v>
      </c>
      <c r="Q112" s="575">
        <f>Q26+Q41+Q52+Q59+Q68+Q73+Q79+Q83+Q93+Q107+Q111</f>
        <v>19670976</v>
      </c>
      <c r="R112" s="575">
        <f aca="true" t="shared" si="60" ref="R112:Z112">R26+R41+R52+R59+R68+R73+R79+R83+R93+R107+R111</f>
        <v>0</v>
      </c>
      <c r="S112" s="575">
        <f>S26+S41+S52+S59+S68+S73+S79+S83+S93+S107+S111</f>
        <v>159245</v>
      </c>
      <c r="T112" s="575">
        <f>T26+T41+T52+T59+T68+T73+T79+T83+T93+T107+T111</f>
        <v>19830221</v>
      </c>
      <c r="U112" s="575">
        <f t="shared" si="60"/>
        <v>0</v>
      </c>
      <c r="V112" s="575">
        <f t="shared" si="60"/>
        <v>215487.99999999994</v>
      </c>
      <c r="W112" s="575">
        <f t="shared" si="60"/>
        <v>0</v>
      </c>
      <c r="X112" s="575">
        <f t="shared" si="60"/>
        <v>0</v>
      </c>
      <c r="Y112" s="575">
        <f t="shared" si="60"/>
        <v>215487.99999999994</v>
      </c>
      <c r="Z112" s="575">
        <f t="shared" si="60"/>
        <v>1</v>
      </c>
      <c r="AA112" s="575" t="s">
        <v>1</v>
      </c>
      <c r="AB112" s="575" t="s">
        <v>1</v>
      </c>
      <c r="AC112" s="575">
        <f>AC26+AC41+AC52+AC59+AC68+AC73+AC79+AC83+AC93+AC107+AC111</f>
        <v>20138560</v>
      </c>
      <c r="AD112" s="575">
        <f>AD26+AD41+AD52+AD59+AD68+AD73+AD79+AD83+AD93+AD107+AD111</f>
        <v>0</v>
      </c>
      <c r="AE112" s="575">
        <f>AE26+AE41+AE52+AE59+AE68+AE73+AE79+AE83+AE93+AE107+AE111</f>
        <v>162489.8</v>
      </c>
      <c r="AF112" s="575">
        <f>AF26+AF41+AF52+AF59+AF68+AF73+AF79+AF83+AF93+AF107+AF111</f>
        <v>20301049.799999997</v>
      </c>
      <c r="AG112" s="575">
        <f>AG26+AG41+AG52+AG59+AG68+AG73+AG79+AG83+AG93+AG107+AG111</f>
        <v>1</v>
      </c>
      <c r="AH112" s="575" t="s">
        <v>1</v>
      </c>
      <c r="AI112" s="575" t="s">
        <v>1</v>
      </c>
      <c r="AJ112" s="575">
        <f>AJ26+AJ41+AJ52+AJ59+AJ68+AJ73+AJ79+AJ83+AJ93+AJ107+AJ111</f>
        <v>20401514</v>
      </c>
      <c r="AK112" s="575">
        <f>AK26+AK41+AK52+AK59+AK68+AK73+AK79+AK83+AK93+AK107+AK111</f>
        <v>0</v>
      </c>
      <c r="AL112" s="575">
        <f>AL26+AL41+AL52+AL59+AL68+AL73+AL79+AL83+AL93+AL107+AL111</f>
        <v>162489.8</v>
      </c>
      <c r="AM112" s="566">
        <f t="shared" si="57"/>
        <v>20564003.8</v>
      </c>
    </row>
    <row r="113" spans="1:39" s="595" customFormat="1" ht="12.75">
      <c r="A113" s="568"/>
      <c r="B113" s="574"/>
      <c r="C113" s="574"/>
      <c r="D113" s="566"/>
      <c r="E113" s="566"/>
      <c r="F113" s="566"/>
      <c r="G113" s="564"/>
      <c r="H113" s="566"/>
      <c r="I113" s="566"/>
      <c r="J113" s="564"/>
      <c r="K113" s="564"/>
      <c r="L113" s="564"/>
      <c r="M113" s="564"/>
      <c r="N113" s="564"/>
      <c r="O113" s="566"/>
      <c r="P113" s="566"/>
      <c r="Q113" s="564"/>
      <c r="R113" s="564"/>
      <c r="S113" s="564"/>
      <c r="T113" s="564"/>
      <c r="U113" s="564"/>
      <c r="V113" s="564"/>
      <c r="W113" s="564"/>
      <c r="X113" s="564"/>
      <c r="Y113" s="564"/>
      <c r="Z113" s="564"/>
      <c r="AA113" s="566"/>
      <c r="AB113" s="566"/>
      <c r="AC113" s="564"/>
      <c r="AD113" s="564"/>
      <c r="AE113" s="564"/>
      <c r="AF113" s="564"/>
      <c r="AG113" s="564"/>
      <c r="AH113" s="566"/>
      <c r="AI113" s="566"/>
      <c r="AJ113" s="564"/>
      <c r="AK113" s="564"/>
      <c r="AL113" s="564"/>
      <c r="AM113" s="566">
        <f t="shared" si="57"/>
        <v>0</v>
      </c>
    </row>
    <row r="114" spans="1:39" s="595" customFormat="1" ht="12.75">
      <c r="A114" s="568"/>
      <c r="B114" s="569"/>
      <c r="C114" s="569"/>
      <c r="D114" s="566"/>
      <c r="E114" s="566"/>
      <c r="F114" s="566"/>
      <c r="G114" s="568"/>
      <c r="H114" s="566"/>
      <c r="I114" s="566"/>
      <c r="J114" s="568"/>
      <c r="K114" s="568"/>
      <c r="L114" s="568"/>
      <c r="M114" s="568"/>
      <c r="N114" s="568"/>
      <c r="O114" s="566"/>
      <c r="P114" s="566"/>
      <c r="Q114" s="568"/>
      <c r="R114" s="568"/>
      <c r="S114" s="568"/>
      <c r="T114" s="568"/>
      <c r="U114" s="568"/>
      <c r="V114" s="568"/>
      <c r="W114" s="568"/>
      <c r="X114" s="568"/>
      <c r="Y114" s="568"/>
      <c r="Z114" s="568"/>
      <c r="AA114" s="566"/>
      <c r="AB114" s="566"/>
      <c r="AC114" s="568"/>
      <c r="AD114" s="568"/>
      <c r="AE114" s="568"/>
      <c r="AF114" s="568"/>
      <c r="AG114" s="568"/>
      <c r="AH114" s="566"/>
      <c r="AI114" s="566"/>
      <c r="AJ114" s="568"/>
      <c r="AK114" s="568"/>
      <c r="AL114" s="568"/>
      <c r="AM114" s="566">
        <f t="shared" si="57"/>
        <v>0</v>
      </c>
    </row>
    <row r="115" spans="1:39" s="595" customFormat="1" ht="38.25">
      <c r="A115" s="564" t="s">
        <v>5</v>
      </c>
      <c r="B115" s="565" t="s">
        <v>217</v>
      </c>
      <c r="C115" s="565"/>
      <c r="D115" s="566"/>
      <c r="E115" s="566"/>
      <c r="F115" s="566"/>
      <c r="G115" s="567"/>
      <c r="H115" s="566"/>
      <c r="I115" s="566"/>
      <c r="J115" s="567"/>
      <c r="K115" s="567"/>
      <c r="L115" s="567"/>
      <c r="M115" s="567"/>
      <c r="N115" s="567"/>
      <c r="O115" s="566"/>
      <c r="P115" s="566"/>
      <c r="Q115" s="567"/>
      <c r="R115" s="567"/>
      <c r="S115" s="567"/>
      <c r="T115" s="567"/>
      <c r="U115" s="567"/>
      <c r="V115" s="567"/>
      <c r="W115" s="567"/>
      <c r="X115" s="567"/>
      <c r="Y115" s="567"/>
      <c r="Z115" s="567"/>
      <c r="AA115" s="566"/>
      <c r="AB115" s="566"/>
      <c r="AC115" s="567"/>
      <c r="AD115" s="567"/>
      <c r="AE115" s="567"/>
      <c r="AF115" s="567"/>
      <c r="AG115" s="567"/>
      <c r="AH115" s="566"/>
      <c r="AI115" s="566"/>
      <c r="AJ115" s="567"/>
      <c r="AK115" s="567"/>
      <c r="AL115" s="567"/>
      <c r="AM115" s="566">
        <f t="shared" si="57"/>
        <v>0</v>
      </c>
    </row>
    <row r="116" spans="1:39" s="595" customFormat="1" ht="12.75">
      <c r="A116" s="568"/>
      <c r="B116" s="569" t="s">
        <v>102</v>
      </c>
      <c r="C116" s="569"/>
      <c r="D116" s="566"/>
      <c r="E116" s="566"/>
      <c r="F116" s="566"/>
      <c r="G116" s="568"/>
      <c r="H116" s="566"/>
      <c r="I116" s="566"/>
      <c r="J116" s="568"/>
      <c r="K116" s="568"/>
      <c r="L116" s="568"/>
      <c r="M116" s="568"/>
      <c r="N116" s="568"/>
      <c r="O116" s="566"/>
      <c r="P116" s="566"/>
      <c r="Q116" s="568"/>
      <c r="R116" s="568"/>
      <c r="S116" s="568"/>
      <c r="T116" s="568"/>
      <c r="U116" s="568"/>
      <c r="V116" s="568"/>
      <c r="W116" s="568"/>
      <c r="X116" s="568"/>
      <c r="Y116" s="568"/>
      <c r="Z116" s="568"/>
      <c r="AA116" s="566"/>
      <c r="AB116" s="566"/>
      <c r="AC116" s="568"/>
      <c r="AD116" s="568"/>
      <c r="AE116" s="568"/>
      <c r="AF116" s="568"/>
      <c r="AG116" s="568"/>
      <c r="AH116" s="566"/>
      <c r="AI116" s="566"/>
      <c r="AJ116" s="568"/>
      <c r="AK116" s="568"/>
      <c r="AL116" s="568"/>
      <c r="AM116" s="566">
        <f t="shared" si="57"/>
        <v>0</v>
      </c>
    </row>
    <row r="117" spans="1:39" s="587" customFormat="1" ht="38.25">
      <c r="A117" s="568">
        <v>1</v>
      </c>
      <c r="B117" s="576" t="s">
        <v>926</v>
      </c>
      <c r="C117" s="573" t="s">
        <v>639</v>
      </c>
      <c r="D117" s="570">
        <v>1971</v>
      </c>
      <c r="E117" s="570" t="s">
        <v>927</v>
      </c>
      <c r="F117" s="566" t="s">
        <v>1</v>
      </c>
      <c r="G117" s="568">
        <v>1</v>
      </c>
      <c r="H117" s="566" t="s">
        <v>628</v>
      </c>
      <c r="I117" s="566"/>
      <c r="J117" s="568">
        <v>249600</v>
      </c>
      <c r="K117" s="568"/>
      <c r="L117" s="568"/>
      <c r="M117" s="566">
        <f aca="true" t="shared" si="61" ref="M117:M123">J117+K117+L117</f>
        <v>249600</v>
      </c>
      <c r="N117" s="568">
        <v>1</v>
      </c>
      <c r="O117" s="568" t="s">
        <v>626</v>
      </c>
      <c r="P117" s="614">
        <v>3</v>
      </c>
      <c r="Q117" s="595">
        <v>249600</v>
      </c>
      <c r="R117" s="568">
        <v>0</v>
      </c>
      <c r="S117" s="568">
        <v>0</v>
      </c>
      <c r="T117" s="566">
        <f aca="true" t="shared" si="62" ref="T117:T123">Q117+R117+S117</f>
        <v>249600</v>
      </c>
      <c r="U117" s="566">
        <f aca="true" t="shared" si="63" ref="U117:U123">+G117-N117</f>
        <v>0</v>
      </c>
      <c r="V117" s="566">
        <f aca="true" t="shared" si="64" ref="V117:X123">J117-Q117</f>
        <v>0</v>
      </c>
      <c r="W117" s="566">
        <f t="shared" si="64"/>
        <v>0</v>
      </c>
      <c r="X117" s="566">
        <f t="shared" si="64"/>
        <v>0</v>
      </c>
      <c r="Y117" s="566">
        <f aca="true" t="shared" si="65" ref="Y117:Y123">V117+W117+X117</f>
        <v>0</v>
      </c>
      <c r="Z117" s="568"/>
      <c r="AA117" s="566" t="s">
        <v>629</v>
      </c>
      <c r="AB117" s="566"/>
      <c r="AC117" s="568">
        <v>249600</v>
      </c>
      <c r="AD117" s="568"/>
      <c r="AE117" s="568"/>
      <c r="AF117" s="566">
        <f aca="true" t="shared" si="66" ref="AF117:AF123">AC117+AD117+AE117</f>
        <v>249600</v>
      </c>
      <c r="AG117" s="568"/>
      <c r="AH117" s="566" t="s">
        <v>928</v>
      </c>
      <c r="AI117" s="575" t="s">
        <v>1</v>
      </c>
      <c r="AJ117" s="568">
        <v>249600</v>
      </c>
      <c r="AK117" s="568"/>
      <c r="AL117" s="568"/>
      <c r="AM117" s="566">
        <f t="shared" si="57"/>
        <v>249600</v>
      </c>
    </row>
    <row r="118" spans="1:39" s="595" customFormat="1" ht="12.75">
      <c r="A118" s="568">
        <v>2</v>
      </c>
      <c r="B118" s="576" t="s">
        <v>929</v>
      </c>
      <c r="C118" s="573" t="s">
        <v>613</v>
      </c>
      <c r="D118" s="570">
        <v>1969</v>
      </c>
      <c r="E118" s="576" t="s">
        <v>930</v>
      </c>
      <c r="F118" s="566" t="s">
        <v>1</v>
      </c>
      <c r="G118" s="568">
        <v>1</v>
      </c>
      <c r="H118" s="566" t="s">
        <v>615</v>
      </c>
      <c r="I118" s="566"/>
      <c r="J118" s="568">
        <v>133120</v>
      </c>
      <c r="K118" s="568"/>
      <c r="L118" s="568"/>
      <c r="M118" s="566">
        <f t="shared" si="61"/>
        <v>133120</v>
      </c>
      <c r="N118" s="568">
        <v>1</v>
      </c>
      <c r="O118" s="568" t="s">
        <v>616</v>
      </c>
      <c r="P118" s="588">
        <v>1.6</v>
      </c>
      <c r="Q118" s="572">
        <v>133120</v>
      </c>
      <c r="R118" s="568">
        <v>0</v>
      </c>
      <c r="S118" s="568">
        <v>0</v>
      </c>
      <c r="T118" s="566">
        <f t="shared" si="62"/>
        <v>133120</v>
      </c>
      <c r="U118" s="566">
        <f t="shared" si="63"/>
        <v>0</v>
      </c>
      <c r="V118" s="566">
        <f t="shared" si="64"/>
        <v>0</v>
      </c>
      <c r="W118" s="566">
        <f t="shared" si="64"/>
        <v>0</v>
      </c>
      <c r="X118" s="566">
        <f t="shared" si="64"/>
        <v>0</v>
      </c>
      <c r="Y118" s="566">
        <f t="shared" si="65"/>
        <v>0</v>
      </c>
      <c r="Z118" s="568"/>
      <c r="AA118" s="566" t="s">
        <v>617</v>
      </c>
      <c r="AB118" s="566"/>
      <c r="AC118" s="568">
        <v>133120</v>
      </c>
      <c r="AD118" s="568"/>
      <c r="AE118" s="568"/>
      <c r="AF118" s="566">
        <f t="shared" si="66"/>
        <v>133120</v>
      </c>
      <c r="AG118" s="568"/>
      <c r="AH118" s="566" t="s">
        <v>618</v>
      </c>
      <c r="AI118" s="575" t="s">
        <v>1</v>
      </c>
      <c r="AJ118" s="568">
        <v>133120</v>
      </c>
      <c r="AK118" s="568"/>
      <c r="AL118" s="568"/>
      <c r="AM118" s="566">
        <f t="shared" si="57"/>
        <v>133120</v>
      </c>
    </row>
    <row r="119" spans="1:39" s="595" customFormat="1" ht="12.75">
      <c r="A119" s="568">
        <v>3</v>
      </c>
      <c r="B119" s="576" t="s">
        <v>931</v>
      </c>
      <c r="C119" s="573" t="s">
        <v>639</v>
      </c>
      <c r="D119" s="570">
        <v>1961</v>
      </c>
      <c r="E119" s="576" t="s">
        <v>932</v>
      </c>
      <c r="F119" s="566" t="s">
        <v>1</v>
      </c>
      <c r="G119" s="568">
        <v>1</v>
      </c>
      <c r="H119" s="566" t="s">
        <v>933</v>
      </c>
      <c r="I119" s="566"/>
      <c r="J119" s="568">
        <v>95625</v>
      </c>
      <c r="K119" s="568"/>
      <c r="L119" s="568"/>
      <c r="M119" s="566">
        <f t="shared" si="61"/>
        <v>95625</v>
      </c>
      <c r="N119" s="568">
        <v>1</v>
      </c>
      <c r="O119" s="568" t="s">
        <v>934</v>
      </c>
      <c r="P119" s="588">
        <v>1</v>
      </c>
      <c r="Q119" s="572">
        <v>95625</v>
      </c>
      <c r="R119" s="568">
        <v>0</v>
      </c>
      <c r="S119" s="568">
        <v>0</v>
      </c>
      <c r="T119" s="566">
        <f t="shared" si="62"/>
        <v>95625</v>
      </c>
      <c r="U119" s="566">
        <f t="shared" si="63"/>
        <v>0</v>
      </c>
      <c r="V119" s="566">
        <f t="shared" si="64"/>
        <v>0</v>
      </c>
      <c r="W119" s="566">
        <f t="shared" si="64"/>
        <v>0</v>
      </c>
      <c r="X119" s="566">
        <f t="shared" si="64"/>
        <v>0</v>
      </c>
      <c r="Y119" s="566">
        <f t="shared" si="65"/>
        <v>0</v>
      </c>
      <c r="Z119" s="568"/>
      <c r="AA119" s="566" t="s">
        <v>935</v>
      </c>
      <c r="AB119" s="566"/>
      <c r="AC119" s="568">
        <v>95625</v>
      </c>
      <c r="AD119" s="568"/>
      <c r="AE119" s="568"/>
      <c r="AF119" s="566">
        <f t="shared" si="66"/>
        <v>95625</v>
      </c>
      <c r="AG119" s="568"/>
      <c r="AH119" s="566" t="s">
        <v>936</v>
      </c>
      <c r="AI119" s="575" t="s">
        <v>1</v>
      </c>
      <c r="AJ119" s="568">
        <v>95625</v>
      </c>
      <c r="AK119" s="568"/>
      <c r="AL119" s="568"/>
      <c r="AM119" s="566">
        <f t="shared" si="57"/>
        <v>95625</v>
      </c>
    </row>
    <row r="120" spans="1:39" s="595" customFormat="1" ht="12.75">
      <c r="A120" s="568">
        <v>4</v>
      </c>
      <c r="B120" s="576" t="s">
        <v>937</v>
      </c>
      <c r="C120" s="573" t="s">
        <v>639</v>
      </c>
      <c r="D120" s="570">
        <v>1958</v>
      </c>
      <c r="E120" s="576" t="s">
        <v>932</v>
      </c>
      <c r="F120" s="566" t="s">
        <v>1</v>
      </c>
      <c r="G120" s="568">
        <v>1</v>
      </c>
      <c r="H120" s="566" t="s">
        <v>938</v>
      </c>
      <c r="I120" s="566"/>
      <c r="J120" s="568">
        <v>95625</v>
      </c>
      <c r="K120" s="568"/>
      <c r="L120" s="568"/>
      <c r="M120" s="566">
        <f t="shared" si="61"/>
        <v>95625</v>
      </c>
      <c r="N120" s="568">
        <v>1</v>
      </c>
      <c r="O120" s="566" t="s">
        <v>939</v>
      </c>
      <c r="P120" s="588">
        <v>1</v>
      </c>
      <c r="Q120" s="572">
        <v>95625</v>
      </c>
      <c r="R120" s="568">
        <v>0</v>
      </c>
      <c r="S120" s="568">
        <v>0</v>
      </c>
      <c r="T120" s="566">
        <f t="shared" si="62"/>
        <v>95625</v>
      </c>
      <c r="U120" s="566">
        <f t="shared" si="63"/>
        <v>0</v>
      </c>
      <c r="V120" s="566">
        <f t="shared" si="64"/>
        <v>0</v>
      </c>
      <c r="W120" s="566">
        <f t="shared" si="64"/>
        <v>0</v>
      </c>
      <c r="X120" s="566">
        <f t="shared" si="64"/>
        <v>0</v>
      </c>
      <c r="Y120" s="566">
        <f t="shared" si="65"/>
        <v>0</v>
      </c>
      <c r="Z120" s="568"/>
      <c r="AA120" s="566" t="s">
        <v>940</v>
      </c>
      <c r="AB120" s="566"/>
      <c r="AC120" s="568">
        <v>95625</v>
      </c>
      <c r="AD120" s="568"/>
      <c r="AE120" s="568"/>
      <c r="AF120" s="566">
        <f t="shared" si="66"/>
        <v>95625</v>
      </c>
      <c r="AG120" s="568"/>
      <c r="AH120" s="566" t="s">
        <v>941</v>
      </c>
      <c r="AI120" s="575" t="s">
        <v>1</v>
      </c>
      <c r="AJ120" s="568">
        <v>95625</v>
      </c>
      <c r="AK120" s="568"/>
      <c r="AL120" s="568"/>
      <c r="AM120" s="566">
        <f t="shared" si="57"/>
        <v>95625</v>
      </c>
    </row>
    <row r="121" spans="1:39" s="595" customFormat="1" ht="12.75">
      <c r="A121" s="568">
        <v>5</v>
      </c>
      <c r="B121" s="570" t="s">
        <v>942</v>
      </c>
      <c r="C121" s="573" t="s">
        <v>639</v>
      </c>
      <c r="D121" s="570">
        <v>1959</v>
      </c>
      <c r="E121" s="570" t="s">
        <v>932</v>
      </c>
      <c r="F121" s="566" t="s">
        <v>1</v>
      </c>
      <c r="G121" s="568">
        <v>1</v>
      </c>
      <c r="H121" s="566" t="s">
        <v>933</v>
      </c>
      <c r="I121" s="566"/>
      <c r="J121" s="568">
        <v>95625</v>
      </c>
      <c r="K121" s="568"/>
      <c r="L121" s="568"/>
      <c r="M121" s="566">
        <f t="shared" si="61"/>
        <v>95625</v>
      </c>
      <c r="N121" s="568">
        <v>1</v>
      </c>
      <c r="O121" s="568" t="s">
        <v>934</v>
      </c>
      <c r="P121" s="588">
        <v>1</v>
      </c>
      <c r="Q121" s="572">
        <v>95625</v>
      </c>
      <c r="R121" s="568">
        <v>0</v>
      </c>
      <c r="S121" s="568">
        <v>0</v>
      </c>
      <c r="T121" s="566">
        <f t="shared" si="62"/>
        <v>95625</v>
      </c>
      <c r="U121" s="566">
        <f t="shared" si="63"/>
        <v>0</v>
      </c>
      <c r="V121" s="566">
        <f t="shared" si="64"/>
        <v>0</v>
      </c>
      <c r="W121" s="566">
        <f t="shared" si="64"/>
        <v>0</v>
      </c>
      <c r="X121" s="566">
        <f t="shared" si="64"/>
        <v>0</v>
      </c>
      <c r="Y121" s="566">
        <f t="shared" si="65"/>
        <v>0</v>
      </c>
      <c r="Z121" s="568"/>
      <c r="AA121" s="566" t="s">
        <v>935</v>
      </c>
      <c r="AB121" s="566"/>
      <c r="AC121" s="568">
        <v>95625</v>
      </c>
      <c r="AD121" s="568"/>
      <c r="AE121" s="568"/>
      <c r="AF121" s="566">
        <f t="shared" si="66"/>
        <v>95625</v>
      </c>
      <c r="AG121" s="568"/>
      <c r="AH121" s="566" t="s">
        <v>936</v>
      </c>
      <c r="AI121" s="575" t="s">
        <v>1</v>
      </c>
      <c r="AJ121" s="568">
        <v>95625</v>
      </c>
      <c r="AK121" s="568"/>
      <c r="AL121" s="568"/>
      <c r="AM121" s="566">
        <f t="shared" si="57"/>
        <v>95625</v>
      </c>
    </row>
    <row r="122" spans="1:39" s="595" customFormat="1" ht="12.75">
      <c r="A122" s="568">
        <v>6</v>
      </c>
      <c r="B122" s="576" t="s">
        <v>943</v>
      </c>
      <c r="C122" s="573" t="s">
        <v>613</v>
      </c>
      <c r="D122" s="570">
        <v>1973</v>
      </c>
      <c r="E122" s="576" t="s">
        <v>944</v>
      </c>
      <c r="F122" s="566" t="s">
        <v>1</v>
      </c>
      <c r="G122" s="568">
        <v>1</v>
      </c>
      <c r="H122" s="566" t="s">
        <v>797</v>
      </c>
      <c r="I122" s="566"/>
      <c r="J122" s="568">
        <v>95625</v>
      </c>
      <c r="K122" s="568"/>
      <c r="L122" s="568"/>
      <c r="M122" s="566">
        <f t="shared" si="61"/>
        <v>95625</v>
      </c>
      <c r="N122" s="568">
        <v>1</v>
      </c>
      <c r="O122" s="566" t="s">
        <v>795</v>
      </c>
      <c r="P122" s="588">
        <v>1</v>
      </c>
      <c r="Q122" s="572">
        <v>95625</v>
      </c>
      <c r="R122" s="568">
        <v>0</v>
      </c>
      <c r="S122" s="568">
        <v>0</v>
      </c>
      <c r="T122" s="566">
        <f t="shared" si="62"/>
        <v>95625</v>
      </c>
      <c r="U122" s="566">
        <f t="shared" si="63"/>
        <v>0</v>
      </c>
      <c r="V122" s="566">
        <f t="shared" si="64"/>
        <v>0</v>
      </c>
      <c r="W122" s="566">
        <f t="shared" si="64"/>
        <v>0</v>
      </c>
      <c r="X122" s="566">
        <f t="shared" si="64"/>
        <v>0</v>
      </c>
      <c r="Y122" s="566">
        <f t="shared" si="65"/>
        <v>0</v>
      </c>
      <c r="Z122" s="568"/>
      <c r="AA122" s="566" t="s">
        <v>798</v>
      </c>
      <c r="AB122" s="566"/>
      <c r="AC122" s="568">
        <v>95625</v>
      </c>
      <c r="AD122" s="568"/>
      <c r="AE122" s="568"/>
      <c r="AF122" s="566">
        <f t="shared" si="66"/>
        <v>95625</v>
      </c>
      <c r="AG122" s="568"/>
      <c r="AH122" s="566" t="s">
        <v>945</v>
      </c>
      <c r="AI122" s="575" t="s">
        <v>1</v>
      </c>
      <c r="AJ122" s="568">
        <v>95625</v>
      </c>
      <c r="AK122" s="568"/>
      <c r="AL122" s="568"/>
      <c r="AM122" s="566">
        <f t="shared" si="57"/>
        <v>95625</v>
      </c>
    </row>
    <row r="123" spans="1:39" s="595" customFormat="1" ht="12.75">
      <c r="A123" s="568">
        <v>7</v>
      </c>
      <c r="B123" s="576" t="s">
        <v>694</v>
      </c>
      <c r="C123" s="569"/>
      <c r="D123" s="570"/>
      <c r="E123" s="576" t="s">
        <v>946</v>
      </c>
      <c r="F123" s="566" t="s">
        <v>1</v>
      </c>
      <c r="G123" s="568">
        <v>1</v>
      </c>
      <c r="H123" s="566" t="s">
        <v>1</v>
      </c>
      <c r="I123" s="566"/>
      <c r="J123" s="568">
        <v>104000</v>
      </c>
      <c r="K123" s="568"/>
      <c r="L123" s="568"/>
      <c r="M123" s="566">
        <f t="shared" si="61"/>
        <v>104000</v>
      </c>
      <c r="N123" s="568">
        <v>1</v>
      </c>
      <c r="O123" s="566" t="s">
        <v>1</v>
      </c>
      <c r="P123" s="588">
        <v>1.25</v>
      </c>
      <c r="Q123" s="572">
        <v>104000</v>
      </c>
      <c r="R123" s="568">
        <v>0</v>
      </c>
      <c r="S123" s="568">
        <v>0</v>
      </c>
      <c r="T123" s="566">
        <f t="shared" si="62"/>
        <v>104000</v>
      </c>
      <c r="U123" s="566">
        <f t="shared" si="63"/>
        <v>0</v>
      </c>
      <c r="V123" s="566">
        <f t="shared" si="64"/>
        <v>0</v>
      </c>
      <c r="W123" s="566">
        <f t="shared" si="64"/>
        <v>0</v>
      </c>
      <c r="X123" s="566">
        <f t="shared" si="64"/>
        <v>0</v>
      </c>
      <c r="Y123" s="566">
        <f t="shared" si="65"/>
        <v>0</v>
      </c>
      <c r="Z123" s="568"/>
      <c r="AA123" s="566" t="s">
        <v>1</v>
      </c>
      <c r="AB123" s="566"/>
      <c r="AC123" s="568">
        <v>104000</v>
      </c>
      <c r="AD123" s="568"/>
      <c r="AE123" s="568"/>
      <c r="AF123" s="566">
        <f t="shared" si="66"/>
        <v>104000</v>
      </c>
      <c r="AG123" s="568"/>
      <c r="AH123" s="566" t="s">
        <v>1</v>
      </c>
      <c r="AI123" s="575" t="s">
        <v>1</v>
      </c>
      <c r="AJ123" s="568">
        <v>104000</v>
      </c>
      <c r="AK123" s="568"/>
      <c r="AL123" s="568"/>
      <c r="AM123" s="566">
        <f t="shared" si="57"/>
        <v>104000</v>
      </c>
    </row>
    <row r="124" spans="1:39" s="596" customFormat="1" ht="12.75">
      <c r="A124" s="564"/>
      <c r="B124" s="574" t="s">
        <v>59</v>
      </c>
      <c r="C124" s="574"/>
      <c r="D124" s="575" t="s">
        <v>1</v>
      </c>
      <c r="E124" s="575" t="s">
        <v>1</v>
      </c>
      <c r="F124" s="575" t="s">
        <v>1</v>
      </c>
      <c r="G124" s="575">
        <f>SUM(G117:G123)</f>
        <v>7</v>
      </c>
      <c r="H124" s="575" t="s">
        <v>1</v>
      </c>
      <c r="I124" s="575" t="s">
        <v>1</v>
      </c>
      <c r="J124" s="575">
        <f>SUM(J117:J123)</f>
        <v>869220</v>
      </c>
      <c r="K124" s="575">
        <f>SUM(K117:K123)</f>
        <v>0</v>
      </c>
      <c r="L124" s="575">
        <f>SUM(L117:L123)</f>
        <v>0</v>
      </c>
      <c r="M124" s="575">
        <f>SUM(M117:M123)</f>
        <v>869220</v>
      </c>
      <c r="N124" s="575">
        <f>SUM(N117:N123)</f>
        <v>7</v>
      </c>
      <c r="O124" s="575" t="s">
        <v>1</v>
      </c>
      <c r="P124" s="575" t="s">
        <v>1</v>
      </c>
      <c r="Q124" s="581">
        <f aca="true" t="shared" si="67" ref="Q124:Z124">SUM(Q117:Q123)</f>
        <v>869220</v>
      </c>
      <c r="R124" s="575">
        <f t="shared" si="67"/>
        <v>0</v>
      </c>
      <c r="S124" s="575">
        <f t="shared" si="67"/>
        <v>0</v>
      </c>
      <c r="T124" s="575">
        <f t="shared" si="67"/>
        <v>869220</v>
      </c>
      <c r="U124" s="575">
        <f t="shared" si="67"/>
        <v>0</v>
      </c>
      <c r="V124" s="575">
        <f t="shared" si="67"/>
        <v>0</v>
      </c>
      <c r="W124" s="575">
        <f t="shared" si="67"/>
        <v>0</v>
      </c>
      <c r="X124" s="575">
        <f t="shared" si="67"/>
        <v>0</v>
      </c>
      <c r="Y124" s="575">
        <f t="shared" si="67"/>
        <v>0</v>
      </c>
      <c r="Z124" s="575">
        <f t="shared" si="67"/>
        <v>0</v>
      </c>
      <c r="AA124" s="575" t="s">
        <v>1</v>
      </c>
      <c r="AB124" s="575" t="s">
        <v>1</v>
      </c>
      <c r="AC124" s="575">
        <f>SUM(AC117:AC123)</f>
        <v>869220</v>
      </c>
      <c r="AD124" s="575">
        <f>SUM(AD117:AD123)</f>
        <v>0</v>
      </c>
      <c r="AE124" s="575">
        <f>SUM(AE117:AE123)</f>
        <v>0</v>
      </c>
      <c r="AF124" s="575">
        <f>SUM(AF117:AF123)</f>
        <v>869220</v>
      </c>
      <c r="AG124" s="575">
        <f>SUM(AG117:AG123)</f>
        <v>0</v>
      </c>
      <c r="AH124" s="575" t="s">
        <v>1</v>
      </c>
      <c r="AI124" s="575" t="s">
        <v>1</v>
      </c>
      <c r="AJ124" s="575">
        <f>SUM(AJ117:AJ123)</f>
        <v>869220</v>
      </c>
      <c r="AK124" s="575">
        <f>SUM(AK117:AK123)</f>
        <v>0</v>
      </c>
      <c r="AL124" s="575">
        <f>SUM(AL117:AL123)</f>
        <v>0</v>
      </c>
      <c r="AM124" s="566">
        <f t="shared" si="57"/>
        <v>869220</v>
      </c>
    </row>
    <row r="125" spans="1:39" s="595" customFormat="1" ht="12.75">
      <c r="A125" s="568"/>
      <c r="B125" s="569"/>
      <c r="C125" s="569"/>
      <c r="D125" s="566"/>
      <c r="E125" s="566"/>
      <c r="F125" s="566"/>
      <c r="G125" s="568"/>
      <c r="H125" s="566"/>
      <c r="I125" s="566"/>
      <c r="J125" s="566"/>
      <c r="K125" s="566"/>
      <c r="L125" s="566"/>
      <c r="M125" s="566"/>
      <c r="N125" s="568"/>
      <c r="O125" s="566"/>
      <c r="P125" s="566"/>
      <c r="Q125" s="566"/>
      <c r="R125" s="566"/>
      <c r="S125" s="566"/>
      <c r="T125" s="566"/>
      <c r="U125" s="566"/>
      <c r="V125" s="566"/>
      <c r="W125" s="566"/>
      <c r="X125" s="566"/>
      <c r="Y125" s="566"/>
      <c r="Z125" s="568"/>
      <c r="AA125" s="566"/>
      <c r="AB125" s="566"/>
      <c r="AC125" s="566"/>
      <c r="AD125" s="566"/>
      <c r="AE125" s="566"/>
      <c r="AF125" s="566"/>
      <c r="AG125" s="568"/>
      <c r="AH125" s="566"/>
      <c r="AI125" s="566"/>
      <c r="AJ125" s="566"/>
      <c r="AK125" s="566"/>
      <c r="AL125" s="566"/>
      <c r="AM125" s="566">
        <f t="shared" si="57"/>
        <v>0</v>
      </c>
    </row>
    <row r="126" spans="1:39" s="598" customFormat="1" ht="12.75">
      <c r="A126" s="574"/>
      <c r="B126" s="565" t="s">
        <v>130</v>
      </c>
      <c r="C126" s="565"/>
      <c r="D126" s="589" t="s">
        <v>1</v>
      </c>
      <c r="E126" s="589" t="s">
        <v>1</v>
      </c>
      <c r="F126" s="589" t="s">
        <v>1</v>
      </c>
      <c r="G126" s="589">
        <f>G12+G22+G112+G124</f>
        <v>81</v>
      </c>
      <c r="H126" s="589" t="s">
        <v>1</v>
      </c>
      <c r="I126" s="589" t="s">
        <v>1</v>
      </c>
      <c r="J126" s="589">
        <f>J12+J22+J112+J124</f>
        <v>25379108</v>
      </c>
      <c r="K126" s="589">
        <f>K12+K22+K112+K124</f>
        <v>0</v>
      </c>
      <c r="L126" s="589">
        <f>L12+L22+L112+L124</f>
        <v>159245</v>
      </c>
      <c r="M126" s="589">
        <f>M12+M22+M112+M124</f>
        <v>25538353</v>
      </c>
      <c r="N126" s="589">
        <f>N12+N22+N112+N124</f>
        <v>81</v>
      </c>
      <c r="O126" s="589" t="s">
        <v>1</v>
      </c>
      <c r="P126" s="589" t="s">
        <v>1</v>
      </c>
      <c r="Q126" s="589">
        <f aca="true" t="shared" si="68" ref="Q126:Z126">Q12+Q22+Q112+Q124</f>
        <v>25136996</v>
      </c>
      <c r="R126" s="589">
        <f t="shared" si="68"/>
        <v>0</v>
      </c>
      <c r="S126" s="589">
        <f t="shared" si="68"/>
        <v>159245</v>
      </c>
      <c r="T126" s="589">
        <f t="shared" si="68"/>
        <v>25296241</v>
      </c>
      <c r="U126" s="589">
        <f t="shared" si="68"/>
        <v>0</v>
      </c>
      <c r="V126" s="589">
        <f t="shared" si="68"/>
        <v>215487.99999999994</v>
      </c>
      <c r="W126" s="589">
        <f t="shared" si="68"/>
        <v>0</v>
      </c>
      <c r="X126" s="589">
        <f t="shared" si="68"/>
        <v>0</v>
      </c>
      <c r="Y126" s="589">
        <f t="shared" si="68"/>
        <v>215487.99999999994</v>
      </c>
      <c r="Z126" s="589">
        <f t="shared" si="68"/>
        <v>11</v>
      </c>
      <c r="AA126" s="589" t="s">
        <v>1</v>
      </c>
      <c r="AB126" s="589" t="s">
        <v>1</v>
      </c>
      <c r="AC126" s="589">
        <f>AC12+AC22+AC112+AC124</f>
        <v>25604580</v>
      </c>
      <c r="AD126" s="589">
        <f>AD12+AD22+AD112+AD124</f>
        <v>0</v>
      </c>
      <c r="AE126" s="589">
        <f>AE12+AE22+AE112+AE124</f>
        <v>162489.8</v>
      </c>
      <c r="AF126" s="589">
        <f>AF12+AF22+AF112+AF124</f>
        <v>25767069.799999997</v>
      </c>
      <c r="AG126" s="589">
        <f>AG12+AG22+AG112+AG124</f>
        <v>11</v>
      </c>
      <c r="AH126" s="589" t="s">
        <v>1</v>
      </c>
      <c r="AI126" s="589" t="s">
        <v>1</v>
      </c>
      <c r="AJ126" s="589">
        <f>AJ12+AJ22+AJ112+AJ124</f>
        <v>25867534</v>
      </c>
      <c r="AK126" s="589">
        <f>AK12+AK22+AK112+AK124</f>
        <v>0</v>
      </c>
      <c r="AL126" s="589">
        <f>AL12+AL22+AL112+AL124</f>
        <v>162489.8</v>
      </c>
      <c r="AM126" s="566">
        <f t="shared" si="57"/>
        <v>26030023.8</v>
      </c>
    </row>
    <row r="127" spans="1:39" s="12" customFormat="1" ht="12.75">
      <c r="A127" s="36"/>
      <c r="B127" s="562"/>
      <c r="C127" s="562"/>
      <c r="D127" s="36"/>
      <c r="E127" s="154"/>
      <c r="F127" s="36"/>
      <c r="G127" s="563"/>
      <c r="H127" s="36"/>
      <c r="I127" s="36"/>
      <c r="J127" s="36"/>
      <c r="K127" s="36"/>
      <c r="L127" s="36"/>
      <c r="M127" s="36"/>
      <c r="N127" s="56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563"/>
      <c r="AA127" s="36"/>
      <c r="AB127" s="36"/>
      <c r="AC127" s="36"/>
      <c r="AD127" s="36"/>
      <c r="AE127" s="36"/>
      <c r="AF127" s="36"/>
      <c r="AG127" s="563"/>
      <c r="AH127" s="36"/>
      <c r="AI127" s="36"/>
      <c r="AJ127" s="36"/>
      <c r="AK127" s="36"/>
      <c r="AL127" s="36"/>
      <c r="AM127" s="36"/>
    </row>
    <row r="129" ht="13.5">
      <c r="B129" s="16" t="s">
        <v>123</v>
      </c>
    </row>
    <row r="130" spans="2:35" ht="13.5">
      <c r="B130" s="291" t="s">
        <v>215</v>
      </c>
      <c r="C130" s="291"/>
      <c r="D130" s="193"/>
      <c r="E130" s="116"/>
      <c r="F130" s="193"/>
      <c r="G130" s="193"/>
      <c r="H130" s="193"/>
      <c r="I130" s="193"/>
      <c r="O130" s="193"/>
      <c r="P130" s="193"/>
      <c r="Z130" s="193"/>
      <c r="AA130" s="193"/>
      <c r="AB130" s="193"/>
      <c r="AG130" s="193"/>
      <c r="AH130" s="193"/>
      <c r="AI130" s="193"/>
    </row>
    <row r="131" spans="2:11" ht="13.5">
      <c r="B131" s="709" t="s">
        <v>214</v>
      </c>
      <c r="C131" s="709"/>
      <c r="D131" s="709"/>
      <c r="E131" s="709"/>
      <c r="F131" s="709"/>
      <c r="G131" s="709"/>
      <c r="H131" s="709"/>
      <c r="I131" s="709"/>
      <c r="J131" s="709"/>
      <c r="K131" s="709"/>
    </row>
    <row r="132" spans="2:35" ht="17.25">
      <c r="B132" s="292" t="s">
        <v>300</v>
      </c>
      <c r="C132" s="292"/>
      <c r="D132" s="193"/>
      <c r="E132" s="193"/>
      <c r="F132" s="193"/>
      <c r="G132" s="193"/>
      <c r="H132" s="193"/>
      <c r="I132" s="193"/>
      <c r="O132" s="193"/>
      <c r="P132" s="193"/>
      <c r="Z132" s="193"/>
      <c r="AA132" s="193"/>
      <c r="AB132" s="193"/>
      <c r="AG132" s="193"/>
      <c r="AH132" s="193"/>
      <c r="AI132" s="193"/>
    </row>
    <row r="133" spans="2:10" ht="14.25">
      <c r="B133" s="702" t="s">
        <v>236</v>
      </c>
      <c r="C133" s="702"/>
      <c r="D133" s="702"/>
      <c r="E133" s="702"/>
      <c r="F133" s="702"/>
      <c r="G133" s="702"/>
      <c r="H133" s="702"/>
      <c r="I133" s="702"/>
      <c r="J133" s="702"/>
    </row>
  </sheetData>
  <sheetProtection/>
  <mergeCells count="9">
    <mergeCell ref="B133:J133"/>
    <mergeCell ref="D4:D5"/>
    <mergeCell ref="C4:C5"/>
    <mergeCell ref="Z4:AF4"/>
    <mergeCell ref="AG4:AM4"/>
    <mergeCell ref="B2:E2"/>
    <mergeCell ref="B131:K131"/>
    <mergeCell ref="U2:Y2"/>
    <mergeCell ref="U4:Y4"/>
  </mergeCells>
  <printOptions/>
  <pageMargins left="0.16" right="0.17" top="0.17" bottom="0.17" header="0.18" footer="0.17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Q23"/>
  <sheetViews>
    <sheetView showGridLines="0" zoomScalePageLayoutView="0" workbookViewId="0" topLeftCell="W7">
      <selection activeCell="AJ8" sqref="AJ8"/>
    </sheetView>
  </sheetViews>
  <sheetFormatPr defaultColWidth="9.140625" defaultRowHeight="12.75"/>
  <cols>
    <col min="1" max="1" width="5.7109375" style="166" customWidth="1"/>
    <col min="2" max="2" width="36.57421875" style="4" customWidth="1"/>
    <col min="3" max="3" width="11.140625" style="35" customWidth="1"/>
    <col min="4" max="4" width="11.28125" style="35" customWidth="1"/>
    <col min="5" max="5" width="13.57421875" style="35" customWidth="1"/>
    <col min="6" max="7" width="10.8515625" style="35" customWidth="1"/>
    <col min="8" max="8" width="11.28125" style="35" customWidth="1"/>
    <col min="9" max="9" width="15.7109375" style="207" customWidth="1"/>
    <col min="10" max="10" width="16.00390625" style="374" customWidth="1"/>
    <col min="11" max="12" width="11.140625" style="35" customWidth="1"/>
    <col min="13" max="13" width="11.57421875" style="35" customWidth="1"/>
    <col min="14" max="14" width="10.421875" style="35" customWidth="1"/>
    <col min="15" max="15" width="9.140625" style="35" customWidth="1"/>
    <col min="16" max="16" width="10.8515625" style="35" customWidth="1"/>
    <col min="17" max="17" width="12.28125" style="35" customWidth="1"/>
    <col min="18" max="18" width="14.00390625" style="207" customWidth="1"/>
    <col min="19" max="19" width="16.00390625" style="374" customWidth="1"/>
    <col min="20" max="21" width="10.7109375" style="35" customWidth="1"/>
    <col min="22" max="22" width="10.421875" style="35" customWidth="1"/>
    <col min="23" max="23" width="10.7109375" style="35" customWidth="1"/>
    <col min="24" max="24" width="10.8515625" style="35" customWidth="1"/>
    <col min="25" max="25" width="11.421875" style="35" customWidth="1"/>
    <col min="26" max="26" width="11.57421875" style="207" customWidth="1"/>
    <col min="27" max="27" width="16.00390625" style="374" customWidth="1"/>
    <col min="28" max="28" width="12.8515625" style="35" customWidth="1"/>
    <col min="29" max="29" width="11.140625" style="35" customWidth="1"/>
    <col min="30" max="30" width="10.00390625" style="35" bestFit="1" customWidth="1"/>
    <col min="31" max="31" width="11.140625" style="35" customWidth="1"/>
    <col min="32" max="32" width="10.8515625" style="35" customWidth="1"/>
    <col min="33" max="33" width="13.421875" style="35" customWidth="1"/>
    <col min="34" max="34" width="14.7109375" style="207" customWidth="1"/>
    <col min="35" max="35" width="16.00390625" style="374" customWidth="1"/>
    <col min="36" max="36" width="11.140625" style="35" customWidth="1"/>
    <col min="37" max="37" width="12.28125" style="35" customWidth="1"/>
    <col min="38" max="38" width="10.57421875" style="35" customWidth="1"/>
    <col min="39" max="39" width="11.140625" style="35" customWidth="1"/>
    <col min="40" max="40" width="10.8515625" style="35" customWidth="1"/>
    <col min="41" max="41" width="12.28125" style="35" customWidth="1"/>
    <col min="42" max="42" width="13.57421875" style="207" customWidth="1"/>
    <col min="43" max="43" width="16.00390625" style="374" customWidth="1"/>
    <col min="44" max="16384" width="9.140625" style="35" customWidth="1"/>
  </cols>
  <sheetData>
    <row r="1" spans="1:43" s="4" customFormat="1" ht="24.75" customHeight="1">
      <c r="A1" s="27"/>
      <c r="B1" s="221" t="s">
        <v>161</v>
      </c>
      <c r="C1" s="28"/>
      <c r="D1" s="28"/>
      <c r="E1" s="28"/>
      <c r="F1" s="28"/>
      <c r="G1" s="28"/>
      <c r="H1" s="28"/>
      <c r="I1" s="156"/>
      <c r="J1" s="368"/>
      <c r="K1" s="27"/>
      <c r="L1" s="27"/>
      <c r="M1" s="86" t="s">
        <v>248</v>
      </c>
      <c r="N1" s="28"/>
      <c r="O1" s="192"/>
      <c r="P1" s="28"/>
      <c r="Q1" s="115"/>
      <c r="R1" s="156"/>
      <c r="S1" s="368"/>
      <c r="T1" s="18"/>
      <c r="U1" s="18"/>
      <c r="V1" s="18"/>
      <c r="W1" s="18"/>
      <c r="X1" s="28"/>
      <c r="Y1" s="115"/>
      <c r="Z1" s="156"/>
      <c r="AA1" s="368"/>
      <c r="AB1" s="115"/>
      <c r="AC1" s="115"/>
      <c r="AD1" s="115"/>
      <c r="AE1" s="115"/>
      <c r="AF1" s="28"/>
      <c r="AG1" s="115"/>
      <c r="AH1" s="156"/>
      <c r="AI1" s="368"/>
      <c r="AJ1" s="115"/>
      <c r="AK1" s="115"/>
      <c r="AL1" s="115"/>
      <c r="AM1" s="115"/>
      <c r="AN1" s="28"/>
      <c r="AO1" s="115"/>
      <c r="AP1" s="156"/>
      <c r="AQ1" s="368"/>
    </row>
    <row r="2" spans="1:43" s="4" customFormat="1" ht="23.25" customHeight="1" thickBot="1">
      <c r="A2" s="27"/>
      <c r="B2" s="624" t="s">
        <v>951</v>
      </c>
      <c r="C2" s="624"/>
      <c r="D2" s="624"/>
      <c r="E2" s="624"/>
      <c r="F2" s="112"/>
      <c r="G2" s="112"/>
      <c r="H2" s="112"/>
      <c r="I2" s="205"/>
      <c r="J2" s="369"/>
      <c r="M2" s="213" t="s">
        <v>10</v>
      </c>
      <c r="N2" s="95"/>
      <c r="O2" s="95"/>
      <c r="P2" s="112"/>
      <c r="Q2" s="95"/>
      <c r="R2" s="205"/>
      <c r="S2" s="369"/>
      <c r="T2" s="95"/>
      <c r="U2" s="95"/>
      <c r="V2" s="95"/>
      <c r="W2" s="95"/>
      <c r="X2" s="112"/>
      <c r="Y2" s="95"/>
      <c r="Z2" s="205"/>
      <c r="AA2" s="369"/>
      <c r="AB2" s="7"/>
      <c r="AC2" s="7"/>
      <c r="AD2" s="7"/>
      <c r="AE2" s="7"/>
      <c r="AF2" s="112"/>
      <c r="AG2" s="7"/>
      <c r="AH2" s="205"/>
      <c r="AI2" s="369"/>
      <c r="AJ2" s="7"/>
      <c r="AK2" s="7"/>
      <c r="AL2" s="7"/>
      <c r="AM2" s="7"/>
      <c r="AN2" s="112"/>
      <c r="AO2" s="7"/>
      <c r="AP2" s="205"/>
      <c r="AQ2" s="369"/>
    </row>
    <row r="3" spans="1:43" s="116" customFormat="1" ht="14.25">
      <c r="A3" s="27"/>
      <c r="B3" s="214"/>
      <c r="C3" s="87"/>
      <c r="D3" s="87"/>
      <c r="E3" s="28"/>
      <c r="F3" s="87"/>
      <c r="G3" s="87"/>
      <c r="H3" s="28"/>
      <c r="I3" s="156"/>
      <c r="J3" s="368"/>
      <c r="K3" s="28"/>
      <c r="L3" s="28"/>
      <c r="M3" s="115"/>
      <c r="N3" s="31"/>
      <c r="O3" s="28"/>
      <c r="P3" s="87"/>
      <c r="Q3" s="28"/>
      <c r="R3" s="156"/>
      <c r="S3" s="368"/>
      <c r="T3" s="115"/>
      <c r="U3" s="115"/>
      <c r="V3" s="115"/>
      <c r="W3" s="115"/>
      <c r="X3" s="87"/>
      <c r="Y3" s="31"/>
      <c r="Z3" s="156"/>
      <c r="AA3" s="368"/>
      <c r="AB3" s="87"/>
      <c r="AC3" s="87"/>
      <c r="AD3" s="87"/>
      <c r="AE3" s="87"/>
      <c r="AF3" s="87"/>
      <c r="AG3" s="28"/>
      <c r="AH3" s="156"/>
      <c r="AI3" s="368"/>
      <c r="AJ3" s="87"/>
      <c r="AK3" s="87"/>
      <c r="AL3" s="87"/>
      <c r="AM3" s="87"/>
      <c r="AN3" s="87"/>
      <c r="AO3" s="28"/>
      <c r="AP3" s="156"/>
      <c r="AQ3" s="368"/>
    </row>
    <row r="4" spans="1:43" s="116" customFormat="1" ht="14.25">
      <c r="A4" s="27"/>
      <c r="B4" s="114"/>
      <c r="C4" s="87"/>
      <c r="D4" s="87"/>
      <c r="E4" s="28"/>
      <c r="F4" s="87"/>
      <c r="G4" s="87"/>
      <c r="H4" s="114"/>
      <c r="I4" s="206"/>
      <c r="J4" s="370"/>
      <c r="K4" s="28"/>
      <c r="L4" s="28"/>
      <c r="M4" s="28"/>
      <c r="N4" s="36" t="s">
        <v>113</v>
      </c>
      <c r="O4" s="28"/>
      <c r="P4" s="87"/>
      <c r="Q4" s="28"/>
      <c r="R4" s="206"/>
      <c r="S4" s="370"/>
      <c r="T4" s="31"/>
      <c r="U4" s="31"/>
      <c r="V4" s="31"/>
      <c r="W4" s="31"/>
      <c r="X4" s="87"/>
      <c r="Y4" s="115"/>
      <c r="Z4" s="206"/>
      <c r="AA4" s="370"/>
      <c r="AB4" s="87"/>
      <c r="AC4" s="87"/>
      <c r="AD4" s="87"/>
      <c r="AE4" s="87"/>
      <c r="AF4" s="87"/>
      <c r="AG4" s="114"/>
      <c r="AH4" s="206"/>
      <c r="AI4" s="370"/>
      <c r="AJ4" s="87"/>
      <c r="AK4" s="87"/>
      <c r="AL4" s="87"/>
      <c r="AM4" s="87"/>
      <c r="AN4" s="87"/>
      <c r="AO4" s="114"/>
      <c r="AP4" s="206"/>
      <c r="AQ4" s="370"/>
    </row>
    <row r="5" spans="1:43" s="208" customFormat="1" ht="21.75" customHeight="1">
      <c r="A5" s="162"/>
      <c r="B5" s="209"/>
      <c r="C5" s="158" t="s">
        <v>238</v>
      </c>
      <c r="D5" s="159"/>
      <c r="E5" s="159"/>
      <c r="F5" s="159"/>
      <c r="G5" s="159"/>
      <c r="H5" s="159"/>
      <c r="I5" s="216"/>
      <c r="J5" s="371"/>
      <c r="K5" s="713" t="s">
        <v>233</v>
      </c>
      <c r="L5" s="714"/>
      <c r="M5" s="714"/>
      <c r="N5" s="714"/>
      <c r="O5" s="714"/>
      <c r="P5" s="714"/>
      <c r="Q5" s="715"/>
      <c r="R5" s="216"/>
      <c r="S5" s="371"/>
      <c r="T5" s="218" t="s">
        <v>114</v>
      </c>
      <c r="U5" s="219"/>
      <c r="V5" s="219"/>
      <c r="W5" s="219"/>
      <c r="X5" s="219"/>
      <c r="Y5" s="220"/>
      <c r="Z5" s="216"/>
      <c r="AA5" s="371"/>
      <c r="AB5" s="218" t="s">
        <v>293</v>
      </c>
      <c r="AC5" s="219"/>
      <c r="AD5" s="219"/>
      <c r="AE5" s="219"/>
      <c r="AF5" s="219"/>
      <c r="AG5" s="220"/>
      <c r="AH5" s="219"/>
      <c r="AI5" s="371"/>
      <c r="AJ5" s="713" t="s">
        <v>359</v>
      </c>
      <c r="AK5" s="714"/>
      <c r="AL5" s="714"/>
      <c r="AM5" s="714"/>
      <c r="AN5" s="714"/>
      <c r="AO5" s="714"/>
      <c r="AP5" s="715"/>
      <c r="AQ5" s="371"/>
    </row>
    <row r="6" spans="1:43" ht="99.75">
      <c r="A6" s="163"/>
      <c r="B6" s="164"/>
      <c r="C6" s="43" t="s">
        <v>109</v>
      </c>
      <c r="D6" s="367" t="s">
        <v>126</v>
      </c>
      <c r="E6" s="324" t="s">
        <v>292</v>
      </c>
      <c r="F6" s="43" t="s">
        <v>118</v>
      </c>
      <c r="G6" s="43" t="s">
        <v>408</v>
      </c>
      <c r="H6" s="43" t="s">
        <v>128</v>
      </c>
      <c r="I6" s="204" t="s">
        <v>147</v>
      </c>
      <c r="J6" s="372" t="s">
        <v>294</v>
      </c>
      <c r="K6" s="365" t="s">
        <v>109</v>
      </c>
      <c r="L6" s="44" t="s">
        <v>289</v>
      </c>
      <c r="M6" s="367" t="s">
        <v>126</v>
      </c>
      <c r="N6" s="43" t="s">
        <v>292</v>
      </c>
      <c r="O6" s="43" t="s">
        <v>118</v>
      </c>
      <c r="P6" s="43" t="s">
        <v>408</v>
      </c>
      <c r="Q6" s="43" t="s">
        <v>128</v>
      </c>
      <c r="R6" s="204" t="s">
        <v>147</v>
      </c>
      <c r="S6" s="372" t="s">
        <v>294</v>
      </c>
      <c r="T6" s="44" t="s">
        <v>144</v>
      </c>
      <c r="U6" s="367" t="s">
        <v>126</v>
      </c>
      <c r="V6" s="324" t="s">
        <v>292</v>
      </c>
      <c r="W6" s="43" t="s">
        <v>118</v>
      </c>
      <c r="X6" s="43" t="s">
        <v>408</v>
      </c>
      <c r="Y6" s="44" t="s">
        <v>145</v>
      </c>
      <c r="Z6" s="204" t="s">
        <v>147</v>
      </c>
      <c r="AA6" s="372" t="s">
        <v>294</v>
      </c>
      <c r="AB6" s="44" t="s">
        <v>109</v>
      </c>
      <c r="AC6" s="367" t="s">
        <v>126</v>
      </c>
      <c r="AD6" s="324" t="s">
        <v>292</v>
      </c>
      <c r="AE6" s="43" t="s">
        <v>118</v>
      </c>
      <c r="AF6" s="43" t="s">
        <v>408</v>
      </c>
      <c r="AG6" s="44" t="s">
        <v>128</v>
      </c>
      <c r="AH6" s="204" t="s">
        <v>147</v>
      </c>
      <c r="AI6" s="372" t="s">
        <v>294</v>
      </c>
      <c r="AJ6" s="44" t="s">
        <v>109</v>
      </c>
      <c r="AK6" s="367" t="s">
        <v>126</v>
      </c>
      <c r="AL6" s="324" t="s">
        <v>292</v>
      </c>
      <c r="AM6" s="43" t="s">
        <v>118</v>
      </c>
      <c r="AN6" s="43" t="s">
        <v>408</v>
      </c>
      <c r="AO6" s="44" t="s">
        <v>128</v>
      </c>
      <c r="AP6" s="204" t="s">
        <v>147</v>
      </c>
      <c r="AQ6" s="372" t="s">
        <v>294</v>
      </c>
    </row>
    <row r="7" spans="1:43" s="12" customFormat="1" ht="12.7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  <c r="U7" s="44">
        <v>21</v>
      </c>
      <c r="V7" s="44">
        <v>22</v>
      </c>
      <c r="W7" s="44">
        <v>23</v>
      </c>
      <c r="X7" s="44">
        <v>24</v>
      </c>
      <c r="Y7" s="44">
        <v>25</v>
      </c>
      <c r="Z7" s="44">
        <v>26</v>
      </c>
      <c r="AA7" s="44">
        <v>27</v>
      </c>
      <c r="AB7" s="44">
        <v>28</v>
      </c>
      <c r="AC7" s="44">
        <v>29</v>
      </c>
      <c r="AD7" s="44">
        <v>30</v>
      </c>
      <c r="AE7" s="44">
        <v>31</v>
      </c>
      <c r="AF7" s="44">
        <v>32</v>
      </c>
      <c r="AG7" s="44">
        <v>33</v>
      </c>
      <c r="AH7" s="44">
        <v>34</v>
      </c>
      <c r="AI7" s="44">
        <v>35</v>
      </c>
      <c r="AJ7" s="44">
        <v>36</v>
      </c>
      <c r="AK7" s="44">
        <v>37</v>
      </c>
      <c r="AL7" s="44">
        <v>38</v>
      </c>
      <c r="AM7" s="44">
        <v>39</v>
      </c>
      <c r="AN7" s="44">
        <v>40</v>
      </c>
      <c r="AO7" s="44">
        <v>41</v>
      </c>
      <c r="AP7" s="44">
        <v>42</v>
      </c>
      <c r="AQ7" s="44">
        <v>43</v>
      </c>
    </row>
    <row r="8" spans="1:43" ht="78.75" customHeight="1">
      <c r="A8" s="150">
        <v>1</v>
      </c>
      <c r="B8" s="151" t="s">
        <v>213</v>
      </c>
      <c r="C8" s="146">
        <v>3</v>
      </c>
      <c r="D8" s="146">
        <v>2163200</v>
      </c>
      <c r="E8" s="146"/>
      <c r="F8" s="146"/>
      <c r="G8" s="146"/>
      <c r="H8" s="152">
        <f>D8+F8+E8+G8</f>
        <v>2163200</v>
      </c>
      <c r="I8" s="155">
        <f aca="true" t="shared" si="0" ref="I8:I18">H8*13</f>
        <v>28121600</v>
      </c>
      <c r="J8" s="373">
        <f>D8*13</f>
        <v>28121600</v>
      </c>
      <c r="K8" s="146">
        <v>3</v>
      </c>
      <c r="L8" s="146"/>
      <c r="M8" s="146">
        <v>2163200</v>
      </c>
      <c r="N8" s="146"/>
      <c r="O8" s="146"/>
      <c r="P8" s="146"/>
      <c r="Q8" s="152">
        <f>M8+O8+N8+P8</f>
        <v>2163200</v>
      </c>
      <c r="R8" s="155">
        <f>Q8*13</f>
        <v>28121600</v>
      </c>
      <c r="S8" s="373">
        <f>M8*13</f>
        <v>28121600</v>
      </c>
      <c r="T8" s="152">
        <f aca="true" t="shared" si="1" ref="T8:T19">C8-K8</f>
        <v>0</v>
      </c>
      <c r="U8" s="152">
        <f aca="true" t="shared" si="2" ref="U8:U19">D8-M8</f>
        <v>0</v>
      </c>
      <c r="V8" s="152">
        <f aca="true" t="shared" si="3" ref="V8:V19">E8-N8</f>
        <v>0</v>
      </c>
      <c r="W8" s="152">
        <f aca="true" t="shared" si="4" ref="W8:X19">F8-O8</f>
        <v>0</v>
      </c>
      <c r="X8" s="152">
        <f t="shared" si="4"/>
        <v>0</v>
      </c>
      <c r="Y8" s="152">
        <f aca="true" t="shared" si="5" ref="Y8:Y19">H8-Q8</f>
        <v>0</v>
      </c>
      <c r="Z8" s="155">
        <f>+I8-R8</f>
        <v>0</v>
      </c>
      <c r="AA8" s="373">
        <f>+J8-S8</f>
        <v>0</v>
      </c>
      <c r="AB8" s="146">
        <v>3</v>
      </c>
      <c r="AC8" s="146">
        <v>2163200</v>
      </c>
      <c r="AD8" s="146"/>
      <c r="AE8" s="146"/>
      <c r="AF8" s="146"/>
      <c r="AG8" s="152">
        <f>AC8+AE8+AD8+AF8</f>
        <v>2163200</v>
      </c>
      <c r="AH8" s="155">
        <f>AG8*13</f>
        <v>28121600</v>
      </c>
      <c r="AI8" s="373">
        <f>AC8*13</f>
        <v>28121600</v>
      </c>
      <c r="AJ8" s="146">
        <v>3</v>
      </c>
      <c r="AK8" s="146">
        <v>2163200</v>
      </c>
      <c r="AL8" s="146"/>
      <c r="AM8" s="146"/>
      <c r="AN8" s="146"/>
      <c r="AO8" s="152">
        <f>AK8+AM8+AL8+AN8</f>
        <v>2163200</v>
      </c>
      <c r="AP8" s="155">
        <f>AO8*13</f>
        <v>28121600</v>
      </c>
      <c r="AQ8" s="373">
        <f>AK8*13</f>
        <v>28121600</v>
      </c>
    </row>
    <row r="9" spans="1:43" ht="18" customHeight="1">
      <c r="A9" s="150">
        <v>2</v>
      </c>
      <c r="B9" s="151" t="s">
        <v>127</v>
      </c>
      <c r="C9" s="146"/>
      <c r="D9" s="165"/>
      <c r="E9" s="165"/>
      <c r="F9" s="165"/>
      <c r="G9" s="165"/>
      <c r="H9" s="152">
        <f aca="true" t="shared" si="6" ref="H9:H19">D9+F9+E9+G9</f>
        <v>0</v>
      </c>
      <c r="I9" s="155">
        <f t="shared" si="0"/>
        <v>0</v>
      </c>
      <c r="J9" s="373">
        <f aca="true" t="shared" si="7" ref="J9:J18">D9*13</f>
        <v>0</v>
      </c>
      <c r="K9" s="146"/>
      <c r="L9" s="146"/>
      <c r="M9" s="165"/>
      <c r="N9" s="165"/>
      <c r="O9" s="165"/>
      <c r="P9" s="165"/>
      <c r="Q9" s="152">
        <f aca="true" t="shared" si="8" ref="Q9:Q19">M9+O9+N9+P9</f>
        <v>0</v>
      </c>
      <c r="R9" s="155">
        <f aca="true" t="shared" si="9" ref="R9:R17">Q9*13</f>
        <v>0</v>
      </c>
      <c r="S9" s="373">
        <f aca="true" t="shared" si="10" ref="S9:S18">M9*13</f>
        <v>0</v>
      </c>
      <c r="T9" s="152">
        <f t="shared" si="1"/>
        <v>0</v>
      </c>
      <c r="U9" s="152">
        <f t="shared" si="2"/>
        <v>0</v>
      </c>
      <c r="V9" s="152">
        <f t="shared" si="3"/>
        <v>0</v>
      </c>
      <c r="W9" s="152">
        <f t="shared" si="4"/>
        <v>0</v>
      </c>
      <c r="X9" s="152">
        <f t="shared" si="4"/>
        <v>0</v>
      </c>
      <c r="Y9" s="152">
        <f t="shared" si="5"/>
        <v>0</v>
      </c>
      <c r="Z9" s="155">
        <f aca="true" t="shared" si="11" ref="Z9:Z19">+I9-R9</f>
        <v>0</v>
      </c>
      <c r="AA9" s="373">
        <f aca="true" t="shared" si="12" ref="AA9:AA19">+J9-S9</f>
        <v>0</v>
      </c>
      <c r="AB9" s="146"/>
      <c r="AC9" s="165"/>
      <c r="AD9" s="146"/>
      <c r="AE9" s="146"/>
      <c r="AF9" s="165"/>
      <c r="AG9" s="152">
        <f aca="true" t="shared" si="13" ref="AG9:AG19">AC9+AE9+AD9+AF9</f>
        <v>0</v>
      </c>
      <c r="AH9" s="155">
        <f aca="true" t="shared" si="14" ref="AH9:AH17">AG9*13</f>
        <v>0</v>
      </c>
      <c r="AI9" s="373">
        <f aca="true" t="shared" si="15" ref="AI9:AI18">AC9*13</f>
        <v>0</v>
      </c>
      <c r="AJ9" s="146"/>
      <c r="AK9" s="165"/>
      <c r="AL9" s="146"/>
      <c r="AM9" s="146"/>
      <c r="AN9" s="165"/>
      <c r="AO9" s="152">
        <f aca="true" t="shared" si="16" ref="AO9:AO19">AK9+AM9+AL9+AN9</f>
        <v>0</v>
      </c>
      <c r="AP9" s="155">
        <f aca="true" t="shared" si="17" ref="AP9:AP17">AO9*13</f>
        <v>0</v>
      </c>
      <c r="AQ9" s="373">
        <f aca="true" t="shared" si="18" ref="AQ9:AQ18">AK9*13</f>
        <v>0</v>
      </c>
    </row>
    <row r="10" spans="1:43" ht="21" customHeight="1">
      <c r="A10" s="150">
        <v>3</v>
      </c>
      <c r="B10" s="151" t="s">
        <v>129</v>
      </c>
      <c r="C10" s="146"/>
      <c r="D10" s="165"/>
      <c r="E10" s="165"/>
      <c r="F10" s="165"/>
      <c r="G10" s="165"/>
      <c r="H10" s="152">
        <f t="shared" si="6"/>
        <v>0</v>
      </c>
      <c r="I10" s="155">
        <f t="shared" si="0"/>
        <v>0</v>
      </c>
      <c r="J10" s="373">
        <f t="shared" si="7"/>
        <v>0</v>
      </c>
      <c r="K10" s="146"/>
      <c r="L10" s="146"/>
      <c r="M10" s="165"/>
      <c r="N10" s="165"/>
      <c r="O10" s="165"/>
      <c r="P10" s="165"/>
      <c r="Q10" s="152">
        <f t="shared" si="8"/>
        <v>0</v>
      </c>
      <c r="R10" s="155">
        <f t="shared" si="9"/>
        <v>0</v>
      </c>
      <c r="S10" s="373">
        <f t="shared" si="10"/>
        <v>0</v>
      </c>
      <c r="T10" s="152">
        <f t="shared" si="1"/>
        <v>0</v>
      </c>
      <c r="U10" s="152">
        <f t="shared" si="2"/>
        <v>0</v>
      </c>
      <c r="V10" s="152">
        <f t="shared" si="3"/>
        <v>0</v>
      </c>
      <c r="W10" s="152">
        <f t="shared" si="4"/>
        <v>0</v>
      </c>
      <c r="X10" s="152">
        <f t="shared" si="4"/>
        <v>0</v>
      </c>
      <c r="Y10" s="152">
        <f t="shared" si="5"/>
        <v>0</v>
      </c>
      <c r="Z10" s="155">
        <f t="shared" si="11"/>
        <v>0</v>
      </c>
      <c r="AA10" s="373">
        <f t="shared" si="12"/>
        <v>0</v>
      </c>
      <c r="AB10" s="146"/>
      <c r="AC10" s="165"/>
      <c r="AD10" s="146"/>
      <c r="AE10" s="146"/>
      <c r="AF10" s="165"/>
      <c r="AG10" s="152">
        <f t="shared" si="13"/>
        <v>0</v>
      </c>
      <c r="AH10" s="155">
        <f t="shared" si="14"/>
        <v>0</v>
      </c>
      <c r="AI10" s="373">
        <f t="shared" si="15"/>
        <v>0</v>
      </c>
      <c r="AJ10" s="146"/>
      <c r="AK10" s="165"/>
      <c r="AL10" s="146"/>
      <c r="AM10" s="146"/>
      <c r="AN10" s="165"/>
      <c r="AO10" s="152">
        <f t="shared" si="16"/>
        <v>0</v>
      </c>
      <c r="AP10" s="155">
        <f t="shared" si="17"/>
        <v>0</v>
      </c>
      <c r="AQ10" s="373">
        <f t="shared" si="18"/>
        <v>0</v>
      </c>
    </row>
    <row r="11" spans="1:43" ht="27">
      <c r="A11" s="150">
        <v>4</v>
      </c>
      <c r="B11" s="151" t="s">
        <v>288</v>
      </c>
      <c r="C11" s="146"/>
      <c r="D11" s="165"/>
      <c r="E11" s="165"/>
      <c r="F11" s="165"/>
      <c r="G11" s="165"/>
      <c r="H11" s="152">
        <f t="shared" si="6"/>
        <v>0</v>
      </c>
      <c r="I11" s="155">
        <f t="shared" si="0"/>
        <v>0</v>
      </c>
      <c r="J11" s="373">
        <f t="shared" si="7"/>
        <v>0</v>
      </c>
      <c r="K11" s="146"/>
      <c r="L11" s="146"/>
      <c r="M11" s="165"/>
      <c r="N11" s="165"/>
      <c r="O11" s="165"/>
      <c r="P11" s="165"/>
      <c r="Q11" s="152">
        <f t="shared" si="8"/>
        <v>0</v>
      </c>
      <c r="R11" s="155">
        <f t="shared" si="9"/>
        <v>0</v>
      </c>
      <c r="S11" s="373">
        <f t="shared" si="10"/>
        <v>0</v>
      </c>
      <c r="T11" s="152">
        <f t="shared" si="1"/>
        <v>0</v>
      </c>
      <c r="U11" s="152">
        <f t="shared" si="2"/>
        <v>0</v>
      </c>
      <c r="V11" s="152">
        <f t="shared" si="3"/>
        <v>0</v>
      </c>
      <c r="W11" s="152">
        <f t="shared" si="4"/>
        <v>0</v>
      </c>
      <c r="X11" s="152">
        <f t="shared" si="4"/>
        <v>0</v>
      </c>
      <c r="Y11" s="152">
        <f t="shared" si="5"/>
        <v>0</v>
      </c>
      <c r="Z11" s="155">
        <f t="shared" si="11"/>
        <v>0</v>
      </c>
      <c r="AA11" s="373">
        <f t="shared" si="12"/>
        <v>0</v>
      </c>
      <c r="AB11" s="146"/>
      <c r="AC11" s="165"/>
      <c r="AD11" s="146"/>
      <c r="AE11" s="146"/>
      <c r="AF11" s="165"/>
      <c r="AG11" s="152">
        <f t="shared" si="13"/>
        <v>0</v>
      </c>
      <c r="AH11" s="155">
        <f t="shared" si="14"/>
        <v>0</v>
      </c>
      <c r="AI11" s="373">
        <f t="shared" si="15"/>
        <v>0</v>
      </c>
      <c r="AJ11" s="146"/>
      <c r="AK11" s="165"/>
      <c r="AL11" s="146"/>
      <c r="AM11" s="146"/>
      <c r="AN11" s="165"/>
      <c r="AO11" s="152">
        <f t="shared" si="16"/>
        <v>0</v>
      </c>
      <c r="AP11" s="155">
        <f t="shared" si="17"/>
        <v>0</v>
      </c>
      <c r="AQ11" s="373">
        <f t="shared" si="18"/>
        <v>0</v>
      </c>
    </row>
    <row r="12" spans="1:43" ht="49.5" customHeight="1">
      <c r="A12" s="150">
        <v>5</v>
      </c>
      <c r="B12" s="151" t="s">
        <v>242</v>
      </c>
      <c r="C12" s="151"/>
      <c r="D12" s="165"/>
      <c r="E12" s="165"/>
      <c r="F12" s="165"/>
      <c r="G12" s="165"/>
      <c r="H12" s="152">
        <f t="shared" si="6"/>
        <v>0</v>
      </c>
      <c r="I12" s="155">
        <f t="shared" si="0"/>
        <v>0</v>
      </c>
      <c r="J12" s="373">
        <f t="shared" si="7"/>
        <v>0</v>
      </c>
      <c r="K12" s="146"/>
      <c r="L12" s="146"/>
      <c r="M12" s="165"/>
      <c r="N12" s="165"/>
      <c r="O12" s="165"/>
      <c r="P12" s="165"/>
      <c r="Q12" s="152">
        <f t="shared" si="8"/>
        <v>0</v>
      </c>
      <c r="R12" s="155">
        <f t="shared" si="9"/>
        <v>0</v>
      </c>
      <c r="S12" s="373">
        <f t="shared" si="10"/>
        <v>0</v>
      </c>
      <c r="T12" s="152">
        <f t="shared" si="1"/>
        <v>0</v>
      </c>
      <c r="U12" s="152">
        <f t="shared" si="2"/>
        <v>0</v>
      </c>
      <c r="V12" s="152">
        <f t="shared" si="3"/>
        <v>0</v>
      </c>
      <c r="W12" s="152">
        <f t="shared" si="4"/>
        <v>0</v>
      </c>
      <c r="X12" s="152">
        <f t="shared" si="4"/>
        <v>0</v>
      </c>
      <c r="Y12" s="152">
        <f t="shared" si="5"/>
        <v>0</v>
      </c>
      <c r="Z12" s="155">
        <f t="shared" si="11"/>
        <v>0</v>
      </c>
      <c r="AA12" s="373">
        <f t="shared" si="12"/>
        <v>0</v>
      </c>
      <c r="AB12" s="151"/>
      <c r="AC12" s="165"/>
      <c r="AD12" s="146"/>
      <c r="AE12" s="146"/>
      <c r="AF12" s="165"/>
      <c r="AG12" s="152">
        <f t="shared" si="13"/>
        <v>0</v>
      </c>
      <c r="AH12" s="155">
        <f t="shared" si="14"/>
        <v>0</v>
      </c>
      <c r="AI12" s="373">
        <f t="shared" si="15"/>
        <v>0</v>
      </c>
      <c r="AJ12" s="151"/>
      <c r="AK12" s="165"/>
      <c r="AL12" s="146"/>
      <c r="AM12" s="146"/>
      <c r="AN12" s="165"/>
      <c r="AO12" s="152">
        <f t="shared" si="16"/>
        <v>0</v>
      </c>
      <c r="AP12" s="155">
        <f t="shared" si="17"/>
        <v>0</v>
      </c>
      <c r="AQ12" s="373">
        <f t="shared" si="18"/>
        <v>0</v>
      </c>
    </row>
    <row r="13" spans="1:43" ht="28.5" customHeight="1">
      <c r="A13" s="150">
        <v>6</v>
      </c>
      <c r="B13" s="151" t="s">
        <v>160</v>
      </c>
      <c r="C13" s="146">
        <v>64</v>
      </c>
      <c r="D13" s="165">
        <v>19913088</v>
      </c>
      <c r="E13" s="165">
        <v>159245</v>
      </c>
      <c r="F13" s="165"/>
      <c r="G13" s="165"/>
      <c r="H13" s="152">
        <f t="shared" si="6"/>
        <v>20072333</v>
      </c>
      <c r="I13" s="155">
        <f t="shared" si="0"/>
        <v>260940329</v>
      </c>
      <c r="J13" s="373">
        <f t="shared" si="7"/>
        <v>258870144</v>
      </c>
      <c r="K13" s="146">
        <v>64</v>
      </c>
      <c r="L13" s="146"/>
      <c r="M13" s="165">
        <v>19670976</v>
      </c>
      <c r="N13" s="165">
        <v>159245</v>
      </c>
      <c r="O13" s="165"/>
      <c r="P13" s="165"/>
      <c r="Q13" s="152">
        <f t="shared" si="8"/>
        <v>19830221</v>
      </c>
      <c r="R13" s="155">
        <f t="shared" si="9"/>
        <v>257792873</v>
      </c>
      <c r="S13" s="373">
        <f t="shared" si="10"/>
        <v>255722688</v>
      </c>
      <c r="T13" s="152">
        <f t="shared" si="1"/>
        <v>0</v>
      </c>
      <c r="U13" s="152">
        <f t="shared" si="2"/>
        <v>242112</v>
      </c>
      <c r="V13" s="152">
        <f t="shared" si="3"/>
        <v>0</v>
      </c>
      <c r="W13" s="152">
        <f t="shared" si="4"/>
        <v>0</v>
      </c>
      <c r="X13" s="152">
        <f t="shared" si="4"/>
        <v>0</v>
      </c>
      <c r="Y13" s="152">
        <f t="shared" si="5"/>
        <v>242112</v>
      </c>
      <c r="Z13" s="155">
        <f t="shared" si="11"/>
        <v>3147456</v>
      </c>
      <c r="AA13" s="373">
        <f t="shared" si="12"/>
        <v>3147456</v>
      </c>
      <c r="AB13" s="146">
        <v>64</v>
      </c>
      <c r="AC13" s="165">
        <v>20138560</v>
      </c>
      <c r="AD13" s="146">
        <v>162490</v>
      </c>
      <c r="AE13" s="146"/>
      <c r="AF13" s="165"/>
      <c r="AG13" s="152">
        <f t="shared" si="13"/>
        <v>20301050</v>
      </c>
      <c r="AH13" s="155">
        <f t="shared" si="14"/>
        <v>263913650</v>
      </c>
      <c r="AI13" s="373">
        <f t="shared" si="15"/>
        <v>261801280</v>
      </c>
      <c r="AJ13" s="146">
        <v>64</v>
      </c>
      <c r="AK13" s="165">
        <v>20401514</v>
      </c>
      <c r="AL13" s="146">
        <v>162490</v>
      </c>
      <c r="AM13" s="146"/>
      <c r="AN13" s="165"/>
      <c r="AO13" s="152">
        <f t="shared" si="16"/>
        <v>20564004</v>
      </c>
      <c r="AP13" s="155">
        <f t="shared" si="17"/>
        <v>267332052</v>
      </c>
      <c r="AQ13" s="373">
        <f t="shared" si="18"/>
        <v>265219682</v>
      </c>
    </row>
    <row r="14" spans="1:43" ht="20.25" customHeight="1">
      <c r="A14" s="150">
        <v>7</v>
      </c>
      <c r="B14" s="151" t="s">
        <v>125</v>
      </c>
      <c r="C14" s="146"/>
      <c r="D14" s="165"/>
      <c r="E14" s="165"/>
      <c r="F14" s="165"/>
      <c r="G14" s="165"/>
      <c r="H14" s="152">
        <f t="shared" si="6"/>
        <v>0</v>
      </c>
      <c r="I14" s="155">
        <f t="shared" si="0"/>
        <v>0</v>
      </c>
      <c r="J14" s="373">
        <f t="shared" si="7"/>
        <v>0</v>
      </c>
      <c r="K14" s="146"/>
      <c r="L14" s="146"/>
      <c r="M14" s="165"/>
      <c r="N14" s="165"/>
      <c r="O14" s="165"/>
      <c r="P14" s="165"/>
      <c r="Q14" s="152">
        <f t="shared" si="8"/>
        <v>0</v>
      </c>
      <c r="R14" s="155">
        <f t="shared" si="9"/>
        <v>0</v>
      </c>
      <c r="S14" s="373">
        <f t="shared" si="10"/>
        <v>0</v>
      </c>
      <c r="T14" s="152">
        <f t="shared" si="1"/>
        <v>0</v>
      </c>
      <c r="U14" s="152">
        <f t="shared" si="2"/>
        <v>0</v>
      </c>
      <c r="V14" s="152">
        <f t="shared" si="3"/>
        <v>0</v>
      </c>
      <c r="W14" s="152">
        <f t="shared" si="4"/>
        <v>0</v>
      </c>
      <c r="X14" s="152">
        <f t="shared" si="4"/>
        <v>0</v>
      </c>
      <c r="Y14" s="152">
        <f t="shared" si="5"/>
        <v>0</v>
      </c>
      <c r="Z14" s="155">
        <f t="shared" si="11"/>
        <v>0</v>
      </c>
      <c r="AA14" s="373">
        <f t="shared" si="12"/>
        <v>0</v>
      </c>
      <c r="AB14" s="146"/>
      <c r="AC14" s="165"/>
      <c r="AD14" s="146"/>
      <c r="AE14" s="146"/>
      <c r="AF14" s="165"/>
      <c r="AG14" s="152">
        <f t="shared" si="13"/>
        <v>0</v>
      </c>
      <c r="AH14" s="155">
        <f t="shared" si="14"/>
        <v>0</v>
      </c>
      <c r="AI14" s="373">
        <f t="shared" si="15"/>
        <v>0</v>
      </c>
      <c r="AJ14" s="146"/>
      <c r="AK14" s="165"/>
      <c r="AL14" s="146"/>
      <c r="AM14" s="146"/>
      <c r="AN14" s="165"/>
      <c r="AO14" s="152">
        <f t="shared" si="16"/>
        <v>0</v>
      </c>
      <c r="AP14" s="155">
        <f t="shared" si="17"/>
        <v>0</v>
      </c>
      <c r="AQ14" s="373">
        <f t="shared" si="18"/>
        <v>0</v>
      </c>
    </row>
    <row r="15" spans="1:43" ht="20.25" customHeight="1">
      <c r="A15" s="150">
        <v>8</v>
      </c>
      <c r="B15" s="151" t="s">
        <v>131</v>
      </c>
      <c r="C15" s="146"/>
      <c r="D15" s="165"/>
      <c r="E15" s="165"/>
      <c r="F15" s="165"/>
      <c r="G15" s="165"/>
      <c r="H15" s="152">
        <f t="shared" si="6"/>
        <v>0</v>
      </c>
      <c r="I15" s="155">
        <f t="shared" si="0"/>
        <v>0</v>
      </c>
      <c r="J15" s="373">
        <f t="shared" si="7"/>
        <v>0</v>
      </c>
      <c r="K15" s="146"/>
      <c r="L15" s="146"/>
      <c r="M15" s="165"/>
      <c r="N15" s="165"/>
      <c r="O15" s="165"/>
      <c r="P15" s="165"/>
      <c r="Q15" s="152">
        <f t="shared" si="8"/>
        <v>0</v>
      </c>
      <c r="R15" s="155">
        <f t="shared" si="9"/>
        <v>0</v>
      </c>
      <c r="S15" s="373">
        <f t="shared" si="10"/>
        <v>0</v>
      </c>
      <c r="T15" s="152">
        <f t="shared" si="1"/>
        <v>0</v>
      </c>
      <c r="U15" s="152">
        <f t="shared" si="2"/>
        <v>0</v>
      </c>
      <c r="V15" s="152">
        <f t="shared" si="3"/>
        <v>0</v>
      </c>
      <c r="W15" s="152">
        <f t="shared" si="4"/>
        <v>0</v>
      </c>
      <c r="X15" s="152">
        <f t="shared" si="4"/>
        <v>0</v>
      </c>
      <c r="Y15" s="152">
        <f t="shared" si="5"/>
        <v>0</v>
      </c>
      <c r="Z15" s="155">
        <f t="shared" si="11"/>
        <v>0</v>
      </c>
      <c r="AA15" s="373">
        <f t="shared" si="12"/>
        <v>0</v>
      </c>
      <c r="AB15" s="146"/>
      <c r="AC15" s="165"/>
      <c r="AD15" s="146"/>
      <c r="AE15" s="146"/>
      <c r="AF15" s="165"/>
      <c r="AG15" s="152">
        <f t="shared" si="13"/>
        <v>0</v>
      </c>
      <c r="AH15" s="155">
        <f t="shared" si="14"/>
        <v>0</v>
      </c>
      <c r="AI15" s="373">
        <f t="shared" si="15"/>
        <v>0</v>
      </c>
      <c r="AJ15" s="146"/>
      <c r="AK15" s="165"/>
      <c r="AL15" s="146"/>
      <c r="AM15" s="146"/>
      <c r="AN15" s="165"/>
      <c r="AO15" s="152">
        <f t="shared" si="16"/>
        <v>0</v>
      </c>
      <c r="AP15" s="155">
        <f t="shared" si="17"/>
        <v>0</v>
      </c>
      <c r="AQ15" s="373">
        <f t="shared" si="18"/>
        <v>0</v>
      </c>
    </row>
    <row r="16" spans="1:43" ht="20.25" customHeight="1">
      <c r="A16" s="150">
        <v>9</v>
      </c>
      <c r="B16" s="151" t="s">
        <v>132</v>
      </c>
      <c r="C16" s="146"/>
      <c r="D16" s="165"/>
      <c r="E16" s="165"/>
      <c r="F16" s="165"/>
      <c r="G16" s="165"/>
      <c r="H16" s="152">
        <f t="shared" si="6"/>
        <v>0</v>
      </c>
      <c r="I16" s="155">
        <f t="shared" si="0"/>
        <v>0</v>
      </c>
      <c r="J16" s="373">
        <f t="shared" si="7"/>
        <v>0</v>
      </c>
      <c r="K16" s="146"/>
      <c r="L16" s="146"/>
      <c r="M16" s="165"/>
      <c r="N16" s="165"/>
      <c r="O16" s="165"/>
      <c r="P16" s="165"/>
      <c r="Q16" s="152">
        <f t="shared" si="8"/>
        <v>0</v>
      </c>
      <c r="R16" s="155">
        <f t="shared" si="9"/>
        <v>0</v>
      </c>
      <c r="S16" s="373">
        <f t="shared" si="10"/>
        <v>0</v>
      </c>
      <c r="T16" s="152">
        <f t="shared" si="1"/>
        <v>0</v>
      </c>
      <c r="U16" s="152">
        <f t="shared" si="2"/>
        <v>0</v>
      </c>
      <c r="V16" s="152">
        <f t="shared" si="3"/>
        <v>0</v>
      </c>
      <c r="W16" s="152">
        <f t="shared" si="4"/>
        <v>0</v>
      </c>
      <c r="X16" s="152">
        <f>G16-P16</f>
        <v>0</v>
      </c>
      <c r="Y16" s="152">
        <f t="shared" si="5"/>
        <v>0</v>
      </c>
      <c r="Z16" s="155">
        <f t="shared" si="11"/>
        <v>0</v>
      </c>
      <c r="AA16" s="373">
        <f t="shared" si="12"/>
        <v>0</v>
      </c>
      <c r="AB16" s="146"/>
      <c r="AC16" s="165"/>
      <c r="AD16" s="146"/>
      <c r="AE16" s="146"/>
      <c r="AF16" s="165"/>
      <c r="AG16" s="152">
        <f t="shared" si="13"/>
        <v>0</v>
      </c>
      <c r="AH16" s="155">
        <f t="shared" si="14"/>
        <v>0</v>
      </c>
      <c r="AI16" s="373">
        <f t="shared" si="15"/>
        <v>0</v>
      </c>
      <c r="AJ16" s="146"/>
      <c r="AK16" s="165"/>
      <c r="AL16" s="146"/>
      <c r="AM16" s="146"/>
      <c r="AN16" s="165"/>
      <c r="AO16" s="152">
        <f t="shared" si="16"/>
        <v>0</v>
      </c>
      <c r="AP16" s="155">
        <f t="shared" si="17"/>
        <v>0</v>
      </c>
      <c r="AQ16" s="373">
        <f t="shared" si="18"/>
        <v>0</v>
      </c>
    </row>
    <row r="17" spans="1:43" ht="20.25" customHeight="1">
      <c r="A17" s="150">
        <v>10</v>
      </c>
      <c r="B17" s="151" t="s">
        <v>133</v>
      </c>
      <c r="C17" s="146"/>
      <c r="D17" s="165"/>
      <c r="E17" s="165"/>
      <c r="F17" s="165"/>
      <c r="G17" s="165"/>
      <c r="H17" s="152">
        <f t="shared" si="6"/>
        <v>0</v>
      </c>
      <c r="I17" s="155">
        <f t="shared" si="0"/>
        <v>0</v>
      </c>
      <c r="J17" s="373">
        <f t="shared" si="7"/>
        <v>0</v>
      </c>
      <c r="K17" s="146"/>
      <c r="L17" s="146"/>
      <c r="M17" s="165"/>
      <c r="N17" s="165"/>
      <c r="O17" s="165"/>
      <c r="P17" s="165"/>
      <c r="Q17" s="152">
        <f t="shared" si="8"/>
        <v>0</v>
      </c>
      <c r="R17" s="155">
        <f t="shared" si="9"/>
        <v>0</v>
      </c>
      <c r="S17" s="373">
        <f t="shared" si="10"/>
        <v>0</v>
      </c>
      <c r="T17" s="152">
        <f t="shared" si="1"/>
        <v>0</v>
      </c>
      <c r="U17" s="152">
        <f t="shared" si="2"/>
        <v>0</v>
      </c>
      <c r="V17" s="152">
        <f t="shared" si="3"/>
        <v>0</v>
      </c>
      <c r="W17" s="152">
        <f t="shared" si="4"/>
        <v>0</v>
      </c>
      <c r="X17" s="152">
        <f t="shared" si="4"/>
        <v>0</v>
      </c>
      <c r="Y17" s="152">
        <f t="shared" si="5"/>
        <v>0</v>
      </c>
      <c r="Z17" s="155">
        <f t="shared" si="11"/>
        <v>0</v>
      </c>
      <c r="AA17" s="373">
        <f t="shared" si="12"/>
        <v>0</v>
      </c>
      <c r="AB17" s="146"/>
      <c r="AC17" s="165"/>
      <c r="AD17" s="146"/>
      <c r="AE17" s="146"/>
      <c r="AF17" s="165"/>
      <c r="AG17" s="152">
        <f t="shared" si="13"/>
        <v>0</v>
      </c>
      <c r="AH17" s="155">
        <f t="shared" si="14"/>
        <v>0</v>
      </c>
      <c r="AI17" s="373">
        <f t="shared" si="15"/>
        <v>0</v>
      </c>
      <c r="AJ17" s="146"/>
      <c r="AK17" s="165"/>
      <c r="AL17" s="146"/>
      <c r="AM17" s="146"/>
      <c r="AN17" s="165"/>
      <c r="AO17" s="152">
        <f t="shared" si="16"/>
        <v>0</v>
      </c>
      <c r="AP17" s="155">
        <f t="shared" si="17"/>
        <v>0</v>
      </c>
      <c r="AQ17" s="373">
        <f t="shared" si="18"/>
        <v>0</v>
      </c>
    </row>
    <row r="18" spans="1:43" ht="40.5">
      <c r="A18" s="150">
        <v>11</v>
      </c>
      <c r="B18" s="151" t="s">
        <v>219</v>
      </c>
      <c r="C18" s="146">
        <v>7</v>
      </c>
      <c r="D18" s="165">
        <v>2433600</v>
      </c>
      <c r="E18" s="165"/>
      <c r="F18" s="165"/>
      <c r="G18" s="165"/>
      <c r="H18" s="152">
        <f t="shared" si="6"/>
        <v>2433600</v>
      </c>
      <c r="I18" s="155">
        <f t="shared" si="0"/>
        <v>31636800</v>
      </c>
      <c r="J18" s="373">
        <f t="shared" si="7"/>
        <v>31636800</v>
      </c>
      <c r="K18" s="146">
        <v>7</v>
      </c>
      <c r="L18" s="146"/>
      <c r="M18" s="165">
        <v>2433600</v>
      </c>
      <c r="N18" s="165"/>
      <c r="O18" s="165"/>
      <c r="P18" s="165"/>
      <c r="Q18" s="152">
        <f t="shared" si="8"/>
        <v>2433600</v>
      </c>
      <c r="R18" s="155">
        <f>Q18*13</f>
        <v>31636800</v>
      </c>
      <c r="S18" s="373">
        <f t="shared" si="10"/>
        <v>31636800</v>
      </c>
      <c r="T18" s="152">
        <f t="shared" si="1"/>
        <v>0</v>
      </c>
      <c r="U18" s="152">
        <f t="shared" si="2"/>
        <v>0</v>
      </c>
      <c r="V18" s="152">
        <f t="shared" si="3"/>
        <v>0</v>
      </c>
      <c r="W18" s="152">
        <f t="shared" si="4"/>
        <v>0</v>
      </c>
      <c r="X18" s="152">
        <f t="shared" si="4"/>
        <v>0</v>
      </c>
      <c r="Y18" s="152">
        <f t="shared" si="5"/>
        <v>0</v>
      </c>
      <c r="Z18" s="155">
        <f>+I18-R18</f>
        <v>0</v>
      </c>
      <c r="AA18" s="373">
        <f t="shared" si="12"/>
        <v>0</v>
      </c>
      <c r="AB18" s="146">
        <v>7</v>
      </c>
      <c r="AC18" s="165">
        <v>2433600</v>
      </c>
      <c r="AD18" s="146"/>
      <c r="AE18" s="146"/>
      <c r="AF18" s="165"/>
      <c r="AG18" s="152">
        <f t="shared" si="13"/>
        <v>2433600</v>
      </c>
      <c r="AH18" s="155">
        <f>AG18*13</f>
        <v>31636800</v>
      </c>
      <c r="AI18" s="373">
        <f t="shared" si="15"/>
        <v>31636800</v>
      </c>
      <c r="AJ18" s="146">
        <v>7</v>
      </c>
      <c r="AK18" s="165">
        <v>2433600</v>
      </c>
      <c r="AL18" s="146"/>
      <c r="AM18" s="146"/>
      <c r="AN18" s="165"/>
      <c r="AO18" s="152">
        <f t="shared" si="16"/>
        <v>2433600</v>
      </c>
      <c r="AP18" s="155">
        <f>AO18*13</f>
        <v>31636800</v>
      </c>
      <c r="AQ18" s="373">
        <f t="shared" si="18"/>
        <v>31636800</v>
      </c>
    </row>
    <row r="19" spans="1:43" ht="40.5">
      <c r="A19" s="150">
        <v>12</v>
      </c>
      <c r="B19" s="151" t="s">
        <v>216</v>
      </c>
      <c r="C19" s="146">
        <v>7</v>
      </c>
      <c r="D19" s="165">
        <v>869220</v>
      </c>
      <c r="E19" s="165"/>
      <c r="F19" s="165"/>
      <c r="G19" s="165"/>
      <c r="H19" s="152">
        <f t="shared" si="6"/>
        <v>869220</v>
      </c>
      <c r="I19" s="155">
        <f>H19*12</f>
        <v>10430640</v>
      </c>
      <c r="J19" s="373">
        <f>D19*12</f>
        <v>10430640</v>
      </c>
      <c r="K19" s="146">
        <v>7</v>
      </c>
      <c r="L19" s="146"/>
      <c r="M19" s="165">
        <v>869220</v>
      </c>
      <c r="N19" s="165"/>
      <c r="O19" s="165"/>
      <c r="P19" s="165"/>
      <c r="Q19" s="152">
        <f t="shared" si="8"/>
        <v>869220</v>
      </c>
      <c r="R19" s="155">
        <f>Q19*12</f>
        <v>10430640</v>
      </c>
      <c r="S19" s="373">
        <f>M19*12</f>
        <v>10430640</v>
      </c>
      <c r="T19" s="152">
        <f t="shared" si="1"/>
        <v>0</v>
      </c>
      <c r="U19" s="152">
        <f t="shared" si="2"/>
        <v>0</v>
      </c>
      <c r="V19" s="152">
        <f t="shared" si="3"/>
        <v>0</v>
      </c>
      <c r="W19" s="152">
        <f t="shared" si="4"/>
        <v>0</v>
      </c>
      <c r="X19" s="152">
        <f t="shared" si="4"/>
        <v>0</v>
      </c>
      <c r="Y19" s="152">
        <f t="shared" si="5"/>
        <v>0</v>
      </c>
      <c r="Z19" s="155">
        <f t="shared" si="11"/>
        <v>0</v>
      </c>
      <c r="AA19" s="373">
        <f t="shared" si="12"/>
        <v>0</v>
      </c>
      <c r="AB19" s="146">
        <v>7</v>
      </c>
      <c r="AC19" s="165">
        <v>869220</v>
      </c>
      <c r="AD19" s="146"/>
      <c r="AE19" s="146"/>
      <c r="AF19" s="165"/>
      <c r="AG19" s="152">
        <f t="shared" si="13"/>
        <v>869220</v>
      </c>
      <c r="AH19" s="155">
        <f>AG19*12</f>
        <v>10430640</v>
      </c>
      <c r="AI19" s="373">
        <f>AC19*12</f>
        <v>10430640</v>
      </c>
      <c r="AJ19" s="146">
        <v>7</v>
      </c>
      <c r="AK19" s="165">
        <v>869220</v>
      </c>
      <c r="AL19" s="146"/>
      <c r="AM19" s="146"/>
      <c r="AN19" s="165"/>
      <c r="AO19" s="152">
        <f t="shared" si="16"/>
        <v>869220</v>
      </c>
      <c r="AP19" s="155">
        <f>AO19*12</f>
        <v>10430640</v>
      </c>
      <c r="AQ19" s="373">
        <f>AK19*12</f>
        <v>10430640</v>
      </c>
    </row>
    <row r="20" spans="1:43" ht="38.25" customHeight="1">
      <c r="A20" s="150"/>
      <c r="B20" s="25" t="s">
        <v>122</v>
      </c>
      <c r="C20" s="152">
        <f aca="true" t="shared" si="19" ref="C20:AP20">SUM(C8:C19)</f>
        <v>81</v>
      </c>
      <c r="D20" s="152">
        <f t="shared" si="19"/>
        <v>25379108</v>
      </c>
      <c r="E20" s="152">
        <f t="shared" si="19"/>
        <v>159245</v>
      </c>
      <c r="F20" s="152">
        <f t="shared" si="19"/>
        <v>0</v>
      </c>
      <c r="G20" s="152">
        <f t="shared" si="19"/>
        <v>0</v>
      </c>
      <c r="H20" s="152">
        <f t="shared" si="19"/>
        <v>25538353</v>
      </c>
      <c r="I20" s="155">
        <f t="shared" si="19"/>
        <v>331129369</v>
      </c>
      <c r="J20" s="373">
        <f>SUM(J8:J19)</f>
        <v>329059184</v>
      </c>
      <c r="K20" s="152">
        <f t="shared" si="19"/>
        <v>81</v>
      </c>
      <c r="L20" s="152">
        <f t="shared" si="19"/>
        <v>0</v>
      </c>
      <c r="M20" s="152">
        <f t="shared" si="19"/>
        <v>25136996</v>
      </c>
      <c r="N20" s="152">
        <f t="shared" si="19"/>
        <v>159245</v>
      </c>
      <c r="O20" s="152">
        <f t="shared" si="19"/>
        <v>0</v>
      </c>
      <c r="P20" s="152"/>
      <c r="Q20" s="152">
        <f>SUM(Q8:Q19)</f>
        <v>25296241</v>
      </c>
      <c r="R20" s="155">
        <f t="shared" si="19"/>
        <v>327981913</v>
      </c>
      <c r="S20" s="373">
        <f>SUM(S8:S19)</f>
        <v>325911728</v>
      </c>
      <c r="T20" s="152">
        <f t="shared" si="19"/>
        <v>0</v>
      </c>
      <c r="U20" s="152">
        <f t="shared" si="19"/>
        <v>242112</v>
      </c>
      <c r="V20" s="152">
        <f t="shared" si="19"/>
        <v>0</v>
      </c>
      <c r="W20" s="152">
        <f t="shared" si="19"/>
        <v>0</v>
      </c>
      <c r="X20" s="152">
        <f>SUM(X8:X19)</f>
        <v>0</v>
      </c>
      <c r="Y20" s="152">
        <f t="shared" si="19"/>
        <v>242112</v>
      </c>
      <c r="Z20" s="155">
        <f t="shared" si="19"/>
        <v>3147456</v>
      </c>
      <c r="AA20" s="373">
        <f t="shared" si="19"/>
        <v>3147456</v>
      </c>
      <c r="AB20" s="152">
        <f t="shared" si="19"/>
        <v>81</v>
      </c>
      <c r="AC20" s="152">
        <f t="shared" si="19"/>
        <v>25604580</v>
      </c>
      <c r="AD20" s="152">
        <f t="shared" si="19"/>
        <v>162490</v>
      </c>
      <c r="AE20" s="152">
        <f t="shared" si="19"/>
        <v>0</v>
      </c>
      <c r="AF20" s="152"/>
      <c r="AG20" s="152">
        <f>SUM(AG8:AG19)</f>
        <v>25767070</v>
      </c>
      <c r="AH20" s="155">
        <f t="shared" si="19"/>
        <v>334102690</v>
      </c>
      <c r="AI20" s="373">
        <f>SUM(AI8:AI19)</f>
        <v>331990320</v>
      </c>
      <c r="AJ20" s="152">
        <f t="shared" si="19"/>
        <v>81</v>
      </c>
      <c r="AK20" s="152">
        <f t="shared" si="19"/>
        <v>25867534</v>
      </c>
      <c r="AL20" s="152">
        <f t="shared" si="19"/>
        <v>162490</v>
      </c>
      <c r="AM20" s="152">
        <f t="shared" si="19"/>
        <v>0</v>
      </c>
      <c r="AN20" s="152"/>
      <c r="AO20" s="152">
        <f>SUM(AO8:AO19)</f>
        <v>26030024</v>
      </c>
      <c r="AP20" s="155">
        <f t="shared" si="19"/>
        <v>337521092</v>
      </c>
      <c r="AQ20" s="373">
        <f>SUM(AQ8:AQ19)</f>
        <v>335408722</v>
      </c>
    </row>
    <row r="21" spans="2:43" ht="41.25" customHeight="1">
      <c r="B21" s="362" t="s">
        <v>295</v>
      </c>
      <c r="C21" s="4"/>
      <c r="J21" s="409">
        <f>+J20*0.16</f>
        <v>52649469.44</v>
      </c>
      <c r="K21" s="363"/>
      <c r="L21" s="363"/>
      <c r="M21" s="364"/>
      <c r="N21" s="364"/>
      <c r="O21" s="364"/>
      <c r="Q21" s="364"/>
      <c r="R21" s="375"/>
      <c r="S21" s="409">
        <f>+S20*0.16</f>
        <v>52145876.480000004</v>
      </c>
      <c r="T21" s="364"/>
      <c r="U21" s="364"/>
      <c r="V21" s="364"/>
      <c r="W21" s="364"/>
      <c r="Y21" s="364"/>
      <c r="Z21" s="379"/>
      <c r="AA21" s="378"/>
      <c r="AB21" s="363"/>
      <c r="AC21" s="363"/>
      <c r="AD21" s="363"/>
      <c r="AE21" s="363"/>
      <c r="AG21" s="364"/>
      <c r="AH21" s="375"/>
      <c r="AI21" s="409">
        <f>+AI20*0.16</f>
        <v>53118451.2</v>
      </c>
      <c r="AJ21" s="363"/>
      <c r="AK21" s="363"/>
      <c r="AL21" s="363"/>
      <c r="AM21" s="363"/>
      <c r="AO21" s="364"/>
      <c r="AP21" s="375"/>
      <c r="AQ21" s="409">
        <f>+AQ20*0.16</f>
        <v>53665395.52</v>
      </c>
    </row>
    <row r="22" spans="2:43" ht="20.25" customHeight="1">
      <c r="B22" s="362" t="s">
        <v>287</v>
      </c>
      <c r="J22" s="409">
        <f>+I20+J21/6</f>
        <v>339904280.5733333</v>
      </c>
      <c r="K22" s="364"/>
      <c r="L22" s="364"/>
      <c r="M22" s="364"/>
      <c r="N22" s="364"/>
      <c r="O22" s="364"/>
      <c r="Q22" s="364"/>
      <c r="R22" s="375"/>
      <c r="S22" s="409">
        <f>+R20+S21/6</f>
        <v>336672892.41333336</v>
      </c>
      <c r="T22" s="364"/>
      <c r="U22" s="364"/>
      <c r="V22" s="364"/>
      <c r="W22" s="364"/>
      <c r="Y22" s="364"/>
      <c r="Z22" s="379"/>
      <c r="AA22" s="378"/>
      <c r="AB22" s="364"/>
      <c r="AC22" s="364"/>
      <c r="AD22" s="364"/>
      <c r="AE22" s="364"/>
      <c r="AG22" s="364"/>
      <c r="AH22" s="375"/>
      <c r="AI22" s="409">
        <f>+AH20+AI21/6</f>
        <v>342955765.2</v>
      </c>
      <c r="AJ22" s="364"/>
      <c r="AK22" s="364"/>
      <c r="AL22" s="364"/>
      <c r="AM22" s="364"/>
      <c r="AO22" s="364"/>
      <c r="AP22" s="375"/>
      <c r="AQ22" s="409">
        <f>+AP20+AQ21/6</f>
        <v>346465324.58666664</v>
      </c>
    </row>
    <row r="23" spans="26:27" ht="14.25">
      <c r="Z23" s="377"/>
      <c r="AA23" s="376"/>
    </row>
  </sheetData>
  <sheetProtection/>
  <mergeCells count="3">
    <mergeCell ref="K5:Q5"/>
    <mergeCell ref="AJ5:AP5"/>
    <mergeCell ref="B2:E2"/>
  </mergeCells>
  <printOptions/>
  <pageMargins left="0.27" right="0.17" top="0.23" bottom="0.26" header="0.17" footer="0.16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zoomScalePageLayoutView="0" workbookViewId="0" topLeftCell="A1">
      <selection activeCell="J25" sqref="J25"/>
    </sheetView>
  </sheetViews>
  <sheetFormatPr defaultColWidth="9.140625" defaultRowHeight="12.75"/>
  <cols>
    <col min="1" max="1" width="9.140625" style="16" customWidth="1"/>
    <col min="2" max="2" width="12.28125" style="16" customWidth="1"/>
    <col min="3" max="3" width="6.7109375" style="12" customWidth="1"/>
    <col min="4" max="4" width="45.57421875" style="139" customWidth="1"/>
    <col min="5" max="6" width="11.7109375" style="3" customWidth="1"/>
    <col min="7" max="7" width="11.00390625" style="3" customWidth="1"/>
    <col min="8" max="8" width="12.57421875" style="3" customWidth="1"/>
    <col min="9" max="9" width="14.7109375" style="3" customWidth="1"/>
    <col min="10" max="10" width="31.00390625" style="3" customWidth="1"/>
    <col min="11" max="11" width="15.140625" style="3" customWidth="1"/>
    <col min="12" max="12" width="13.140625" style="3" customWidth="1"/>
    <col min="13" max="16384" width="9.140625" style="4" customWidth="1"/>
  </cols>
  <sheetData>
    <row r="1" spans="1:10" ht="21.75" customHeight="1">
      <c r="A1" s="28"/>
      <c r="B1" s="28"/>
      <c r="J1" s="34" t="s">
        <v>15</v>
      </c>
    </row>
    <row r="2" spans="1:12" s="28" customFormat="1" ht="25.5" customHeight="1" thickBot="1">
      <c r="A2" s="624" t="s">
        <v>947</v>
      </c>
      <c r="B2" s="624"/>
      <c r="C2" s="624"/>
      <c r="D2" s="624"/>
      <c r="E2" s="624"/>
      <c r="F2" s="624"/>
      <c r="G2" s="624"/>
      <c r="H2" s="624"/>
      <c r="I2" s="20"/>
      <c r="J2" s="34" t="s">
        <v>10</v>
      </c>
      <c r="K2" s="27"/>
      <c r="L2" s="27"/>
    </row>
    <row r="3" spans="1:10" s="270" customFormat="1" ht="16.5">
      <c r="A3" s="286" t="s">
        <v>193</v>
      </c>
      <c r="B3" s="286">
        <v>1</v>
      </c>
      <c r="C3" s="268"/>
      <c r="D3" s="630"/>
      <c r="E3" s="630"/>
      <c r="F3" s="630"/>
      <c r="G3" s="630"/>
      <c r="H3" s="630"/>
      <c r="I3" s="630"/>
      <c r="J3" s="269"/>
    </row>
    <row r="4" spans="1:12" s="270" customFormat="1" ht="16.5">
      <c r="A4" s="161" t="s">
        <v>194</v>
      </c>
      <c r="B4" s="161">
        <v>1</v>
      </c>
      <c r="C4" s="268"/>
      <c r="D4" s="561"/>
      <c r="E4" s="561"/>
      <c r="F4" s="561"/>
      <c r="G4" s="561"/>
      <c r="H4" s="561"/>
      <c r="I4" s="561"/>
      <c r="J4" s="269"/>
      <c r="K4" s="561"/>
      <c r="L4" s="561"/>
    </row>
    <row r="5" spans="1:12" s="28" customFormat="1" ht="14.25">
      <c r="A5" s="161" t="s">
        <v>195</v>
      </c>
      <c r="B5" s="161">
        <v>1</v>
      </c>
      <c r="C5" s="39"/>
      <c r="D5" s="5"/>
      <c r="E5" s="20"/>
      <c r="F5" s="20"/>
      <c r="G5" s="20"/>
      <c r="H5" s="20"/>
      <c r="I5" s="20"/>
      <c r="J5" s="20"/>
      <c r="K5" s="20"/>
      <c r="L5" s="20"/>
    </row>
    <row r="6" spans="1:12" s="12" customFormat="1" ht="13.5">
      <c r="A6" s="629"/>
      <c r="B6" s="629"/>
      <c r="C6" s="186"/>
      <c r="D6" s="203"/>
      <c r="E6" s="7"/>
      <c r="F6" s="7"/>
      <c r="H6" s="90"/>
      <c r="I6" s="222"/>
      <c r="L6" s="293" t="s">
        <v>225</v>
      </c>
    </row>
    <row r="7" spans="1:12" s="12" customFormat="1" ht="13.5" customHeight="1">
      <c r="A7" s="615" t="s">
        <v>196</v>
      </c>
      <c r="B7" s="615"/>
      <c r="C7" s="627"/>
      <c r="D7" s="628"/>
      <c r="E7" s="40" t="s">
        <v>231</v>
      </c>
      <c r="F7" s="40" t="s">
        <v>233</v>
      </c>
      <c r="G7" s="42" t="s">
        <v>238</v>
      </c>
      <c r="H7" s="42"/>
      <c r="I7" s="42"/>
      <c r="J7" s="11"/>
      <c r="K7" s="41" t="s">
        <v>291</v>
      </c>
      <c r="L7" s="41" t="s">
        <v>348</v>
      </c>
    </row>
    <row r="8" spans="1:12" s="12" customFormat="1" ht="63.75">
      <c r="A8" s="274" t="s">
        <v>197</v>
      </c>
      <c r="B8" s="274" t="s">
        <v>198</v>
      </c>
      <c r="C8" s="612" t="s">
        <v>16</v>
      </c>
      <c r="D8" s="612" t="s">
        <v>171</v>
      </c>
      <c r="E8" s="11" t="s">
        <v>173</v>
      </c>
      <c r="F8" s="45" t="s">
        <v>11</v>
      </c>
      <c r="G8" s="11" t="s">
        <v>12</v>
      </c>
      <c r="H8" s="11" t="s">
        <v>349</v>
      </c>
      <c r="I8" s="324" t="s">
        <v>350</v>
      </c>
      <c r="J8" s="11" t="s">
        <v>143</v>
      </c>
      <c r="K8" s="11" t="s">
        <v>12</v>
      </c>
      <c r="L8" s="11" t="s">
        <v>12</v>
      </c>
    </row>
    <row r="9" spans="1:12" s="172" customFormat="1" ht="13.5">
      <c r="A9" s="283">
        <v>1</v>
      </c>
      <c r="B9" s="283">
        <v>2</v>
      </c>
      <c r="C9" s="283">
        <v>3</v>
      </c>
      <c r="D9" s="283">
        <v>4</v>
      </c>
      <c r="E9" s="283">
        <v>5</v>
      </c>
      <c r="F9" s="283">
        <v>6</v>
      </c>
      <c r="G9" s="283">
        <v>7</v>
      </c>
      <c r="H9" s="283">
        <v>8</v>
      </c>
      <c r="I9" s="283">
        <v>9</v>
      </c>
      <c r="J9" s="283">
        <v>10</v>
      </c>
      <c r="K9" s="283">
        <v>11</v>
      </c>
      <c r="L9" s="283">
        <v>12</v>
      </c>
    </row>
    <row r="10" spans="1:12" s="111" customFormat="1" ht="14.25" customHeight="1">
      <c r="A10" s="631" t="s">
        <v>611</v>
      </c>
      <c r="B10" s="620">
        <v>11001</v>
      </c>
      <c r="C10" s="275"/>
      <c r="D10" s="177" t="s">
        <v>141</v>
      </c>
      <c r="E10" s="171">
        <v>100</v>
      </c>
      <c r="F10" s="171">
        <v>100</v>
      </c>
      <c r="G10" s="171">
        <v>81</v>
      </c>
      <c r="H10" s="171">
        <f>+G10-F10</f>
        <v>-19</v>
      </c>
      <c r="I10" s="171">
        <f aca="true" t="shared" si="0" ref="I10:I42">G10-E10</f>
        <v>-19</v>
      </c>
      <c r="J10" s="171"/>
      <c r="K10" s="171"/>
      <c r="L10" s="171"/>
    </row>
    <row r="11" spans="1:12" s="111" customFormat="1" ht="13.5" customHeight="1">
      <c r="A11" s="625"/>
      <c r="B11" s="621"/>
      <c r="C11" s="276"/>
      <c r="D11" s="178"/>
      <c r="E11" s="100"/>
      <c r="F11" s="100"/>
      <c r="G11" s="100"/>
      <c r="H11" s="100">
        <f aca="true" t="shared" si="1" ref="H11:H69">+G11-F11</f>
        <v>0</v>
      </c>
      <c r="I11" s="100">
        <f t="shared" si="0"/>
        <v>0</v>
      </c>
      <c r="J11" s="100"/>
      <c r="K11" s="100"/>
      <c r="L11" s="100"/>
    </row>
    <row r="12" spans="1:12" s="111" customFormat="1" ht="14.25" customHeight="1">
      <c r="A12" s="625"/>
      <c r="B12" s="621"/>
      <c r="C12" s="276"/>
      <c r="D12" s="179" t="s">
        <v>13</v>
      </c>
      <c r="E12" s="100">
        <v>4</v>
      </c>
      <c r="F12" s="100">
        <v>4</v>
      </c>
      <c r="G12" s="100">
        <v>4</v>
      </c>
      <c r="H12" s="100">
        <f t="shared" si="1"/>
        <v>0</v>
      </c>
      <c r="I12" s="100">
        <f t="shared" si="0"/>
        <v>0</v>
      </c>
      <c r="J12" s="100"/>
      <c r="K12" s="100"/>
      <c r="L12" s="100"/>
    </row>
    <row r="13" spans="1:12" s="419" customFormat="1" ht="14.25" customHeight="1">
      <c r="A13" s="625"/>
      <c r="B13" s="621"/>
      <c r="C13" s="275"/>
      <c r="D13" s="185"/>
      <c r="E13" s="171"/>
      <c r="F13" s="171"/>
      <c r="G13" s="171"/>
      <c r="H13" s="171">
        <f t="shared" si="1"/>
        <v>0</v>
      </c>
      <c r="I13" s="171">
        <f t="shared" si="0"/>
        <v>0</v>
      </c>
      <c r="J13" s="171"/>
      <c r="K13" s="171"/>
      <c r="L13" s="171"/>
    </row>
    <row r="14" spans="1:12" s="172" customFormat="1" ht="14.25" customHeight="1">
      <c r="A14" s="625"/>
      <c r="B14" s="621"/>
      <c r="C14" s="277"/>
      <c r="D14" s="187" t="s">
        <v>14</v>
      </c>
      <c r="E14" s="173">
        <f>+E16+E74</f>
        <v>599345.4</v>
      </c>
      <c r="F14" s="173">
        <f>+F16+F74</f>
        <v>602609.7</v>
      </c>
      <c r="G14" s="173">
        <f>+G16+G74</f>
        <v>507156.79999999993</v>
      </c>
      <c r="H14" s="173">
        <f t="shared" si="1"/>
        <v>-95452.90000000002</v>
      </c>
      <c r="I14" s="173">
        <f t="shared" si="0"/>
        <v>-92188.6000000001</v>
      </c>
      <c r="J14" s="173"/>
      <c r="K14" s="173">
        <f>+K16+K74</f>
        <v>510417.29999999993</v>
      </c>
      <c r="L14" s="173">
        <f>+L16+L74</f>
        <v>514188.79999999993</v>
      </c>
    </row>
    <row r="15" spans="1:12" s="172" customFormat="1" ht="14.25" customHeight="1">
      <c r="A15" s="625"/>
      <c r="B15" s="621"/>
      <c r="C15" s="278"/>
      <c r="D15" s="13" t="s">
        <v>172</v>
      </c>
      <c r="E15" s="100"/>
      <c r="F15" s="100"/>
      <c r="G15" s="100"/>
      <c r="H15" s="100"/>
      <c r="I15" s="100"/>
      <c r="J15" s="100"/>
      <c r="K15" s="100"/>
      <c r="L15" s="100"/>
    </row>
    <row r="16" spans="1:12" s="172" customFormat="1" ht="14.25" customHeight="1">
      <c r="A16" s="625"/>
      <c r="B16" s="621"/>
      <c r="C16" s="279"/>
      <c r="D16" s="180" t="s">
        <v>17</v>
      </c>
      <c r="E16" s="173">
        <f>E18+E25+E30+E34+E35+E36+E38+E43+E44+E45+E46+E48+E49+E51+E52+E56+E61+E63+E65+E68</f>
        <v>595559.2000000001</v>
      </c>
      <c r="F16" s="173">
        <f>F18+F25+F30+F34+F35+F36+F38+F43+F44+F45+F46+F48+F49+F51+F52+F56+F61+F63+F65+F68</f>
        <v>597509.7</v>
      </c>
      <c r="G16" s="173">
        <f>G18+G25+G30+G34+G35+G36+G38+G43+G44+G45+G46+G48+G49+G51+G52+G56+G61+G63+G65+G68</f>
        <v>503156.79999999993</v>
      </c>
      <c r="H16" s="173">
        <f>H18+H25+H30+H34+H35+H36+H38+H43+H44+H45+H46+H48+H49+H51+H52+H56+H61+H63+H65+H68</f>
        <v>-94352.90000000001</v>
      </c>
      <c r="I16" s="173">
        <f>I18+I25+I30+I34+I35+I36+I38+I43+I44+I45+I46+I48+I49+I51+I52+I56+I61+I63+I65+I68</f>
        <v>-92322.59999999998</v>
      </c>
      <c r="J16" s="173"/>
      <c r="K16" s="173">
        <f>K18+K25+K30+K34+K35+K36+K38+K43+K44+K45+K46+K48+K49+K51+K52+K56+K61+K63+K65+K68</f>
        <v>506417.29999999993</v>
      </c>
      <c r="L16" s="173">
        <f>L18+L25+L30+L34+L35+L36+L38+L43+L44+L45+L46+L48+L49+L51+L52+L56+L61+L63+L65+L68</f>
        <v>510188.79999999993</v>
      </c>
    </row>
    <row r="17" spans="1:12" s="172" customFormat="1" ht="13.5" customHeight="1">
      <c r="A17" s="625"/>
      <c r="B17" s="621"/>
      <c r="C17" s="275"/>
      <c r="D17" s="178" t="s">
        <v>49</v>
      </c>
      <c r="E17" s="171" t="s">
        <v>610</v>
      </c>
      <c r="F17" s="171"/>
      <c r="G17" s="100"/>
      <c r="H17" s="100">
        <f>+G17-F17</f>
        <v>0</v>
      </c>
      <c r="I17" s="100"/>
      <c r="J17" s="171"/>
      <c r="K17" s="100"/>
      <c r="L17" s="100"/>
    </row>
    <row r="18" spans="1:12" s="172" customFormat="1" ht="14.25">
      <c r="A18" s="625"/>
      <c r="B18" s="621"/>
      <c r="C18" s="280"/>
      <c r="D18" s="238" t="s">
        <v>220</v>
      </c>
      <c r="E18" s="325">
        <f>SUM(E20:E23)</f>
        <v>515604.3</v>
      </c>
      <c r="F18" s="325">
        <f>SUM(F20:F23)</f>
        <v>510208</v>
      </c>
      <c r="G18" s="325">
        <f>SUM(G20:G23)</f>
        <v>412308.3</v>
      </c>
      <c r="H18" s="325">
        <f>+G18-F18</f>
        <v>-97899.70000000001</v>
      </c>
      <c r="I18" s="325">
        <f>G18-E18</f>
        <v>-103296</v>
      </c>
      <c r="J18" s="325"/>
      <c r="K18" s="325">
        <f>SUM(K20:K23)</f>
        <v>415668.8</v>
      </c>
      <c r="L18" s="325">
        <f>SUM(L20:L23)</f>
        <v>419440.3</v>
      </c>
    </row>
    <row r="19" spans="1:12" s="172" customFormat="1" ht="13.5">
      <c r="A19" s="285"/>
      <c r="B19" s="284"/>
      <c r="C19" s="275"/>
      <c r="D19" s="178" t="s">
        <v>49</v>
      </c>
      <c r="E19" s="171"/>
      <c r="F19" s="171"/>
      <c r="G19" s="100"/>
      <c r="H19" s="100">
        <f t="shared" si="1"/>
        <v>0</v>
      </c>
      <c r="I19" s="171">
        <f t="shared" si="0"/>
        <v>0</v>
      </c>
      <c r="J19" s="171"/>
      <c r="K19" s="100"/>
      <c r="L19" s="100"/>
    </row>
    <row r="20" spans="1:12" s="172" customFormat="1" ht="28.5">
      <c r="A20" s="285"/>
      <c r="B20" s="284"/>
      <c r="C20" s="281" t="s">
        <v>134</v>
      </c>
      <c r="D20" s="181" t="s">
        <v>18</v>
      </c>
      <c r="E20" s="171">
        <v>435244</v>
      </c>
      <c r="F20" s="171">
        <v>430421.4</v>
      </c>
      <c r="G20" s="171">
        <v>339904.3</v>
      </c>
      <c r="H20" s="171">
        <f t="shared" si="1"/>
        <v>-90517.10000000003</v>
      </c>
      <c r="I20" s="171">
        <f t="shared" si="0"/>
        <v>-95339.70000000001</v>
      </c>
      <c r="J20" s="171"/>
      <c r="K20" s="171">
        <v>342955.8</v>
      </c>
      <c r="L20" s="171">
        <v>346465.3</v>
      </c>
    </row>
    <row r="21" spans="1:12" s="174" customFormat="1" ht="28.5">
      <c r="A21" s="285"/>
      <c r="B21" s="284"/>
      <c r="C21" s="281" t="s">
        <v>135</v>
      </c>
      <c r="D21" s="182" t="s">
        <v>19</v>
      </c>
      <c r="E21" s="171">
        <v>52482.6</v>
      </c>
      <c r="F21" s="171">
        <v>46587.1</v>
      </c>
      <c r="G21" s="171">
        <v>42525</v>
      </c>
      <c r="H21" s="171">
        <f t="shared" si="1"/>
        <v>-4062.0999999999985</v>
      </c>
      <c r="I21" s="171">
        <f t="shared" si="0"/>
        <v>-9957.599999999999</v>
      </c>
      <c r="J21" s="171"/>
      <c r="K21" s="171">
        <v>42525</v>
      </c>
      <c r="L21" s="171">
        <v>42525</v>
      </c>
    </row>
    <row r="22" spans="1:12" s="174" customFormat="1" ht="28.5">
      <c r="A22" s="285"/>
      <c r="B22" s="284"/>
      <c r="C22" s="281" t="s">
        <v>136</v>
      </c>
      <c r="D22" s="182" t="s">
        <v>20</v>
      </c>
      <c r="E22" s="171">
        <v>27877.7</v>
      </c>
      <c r="F22" s="171">
        <v>33199.5</v>
      </c>
      <c r="G22" s="171">
        <v>29879</v>
      </c>
      <c r="H22" s="171">
        <f>+G22-F22</f>
        <v>-3320.5</v>
      </c>
      <c r="I22" s="171">
        <f>G22-E22</f>
        <v>2001.2999999999993</v>
      </c>
      <c r="J22" s="171"/>
      <c r="K22" s="171">
        <v>30188</v>
      </c>
      <c r="L22" s="171">
        <v>30450</v>
      </c>
    </row>
    <row r="23" spans="1:12" s="174" customFormat="1" ht="27" customHeight="1">
      <c r="A23" s="285"/>
      <c r="B23" s="284"/>
      <c r="C23" s="281" t="s">
        <v>262</v>
      </c>
      <c r="D23" s="182" t="s">
        <v>263</v>
      </c>
      <c r="E23" s="171"/>
      <c r="F23" s="171"/>
      <c r="G23" s="171"/>
      <c r="H23" s="171">
        <f>+G23-F23</f>
        <v>0</v>
      </c>
      <c r="I23" s="171">
        <f>G23-E23</f>
        <v>0</v>
      </c>
      <c r="J23" s="171"/>
      <c r="K23" s="171"/>
      <c r="L23" s="171"/>
    </row>
    <row r="24" spans="1:12" s="174" customFormat="1" ht="27" customHeight="1">
      <c r="A24" s="285"/>
      <c r="B24" s="284"/>
      <c r="C24" s="281" t="s">
        <v>362</v>
      </c>
      <c r="D24" s="182" t="s">
        <v>363</v>
      </c>
      <c r="E24" s="171"/>
      <c r="F24" s="171"/>
      <c r="G24" s="171"/>
      <c r="H24" s="171"/>
      <c r="I24" s="171"/>
      <c r="J24" s="171"/>
      <c r="K24" s="171"/>
      <c r="L24" s="171"/>
    </row>
    <row r="25" spans="1:12" s="174" customFormat="1" ht="14.25">
      <c r="A25" s="285"/>
      <c r="B25" s="284"/>
      <c r="C25" s="282">
        <v>4212</v>
      </c>
      <c r="D25" s="238" t="s">
        <v>21</v>
      </c>
      <c r="E25" s="325">
        <f>E27+E28+E29</f>
        <v>11869.5</v>
      </c>
      <c r="F25" s="325">
        <f>F27+F28+F29</f>
        <v>12278</v>
      </c>
      <c r="G25" s="325">
        <f>G27+G28+G29</f>
        <v>12278</v>
      </c>
      <c r="H25" s="325">
        <f t="shared" si="1"/>
        <v>0</v>
      </c>
      <c r="I25" s="325">
        <f t="shared" si="0"/>
        <v>408.5</v>
      </c>
      <c r="J25" s="325"/>
      <c r="K25" s="325">
        <f>K27+K28+K29</f>
        <v>12278</v>
      </c>
      <c r="L25" s="325">
        <f>L27+L28+L29</f>
        <v>12278</v>
      </c>
    </row>
    <row r="26" spans="1:12" s="174" customFormat="1" ht="13.5">
      <c r="A26" s="285"/>
      <c r="B26" s="284"/>
      <c r="C26" s="281"/>
      <c r="D26" s="178" t="s">
        <v>49</v>
      </c>
      <c r="E26" s="188"/>
      <c r="F26" s="188"/>
      <c r="G26" s="188"/>
      <c r="H26" s="188">
        <f t="shared" si="1"/>
        <v>0</v>
      </c>
      <c r="I26" s="188">
        <f t="shared" si="0"/>
        <v>0</v>
      </c>
      <c r="J26" s="188"/>
      <c r="K26" s="188"/>
      <c r="L26" s="188"/>
    </row>
    <row r="27" spans="1:12" s="174" customFormat="1" ht="13.5">
      <c r="A27" s="285"/>
      <c r="B27" s="284"/>
      <c r="C27" s="281"/>
      <c r="D27" s="178" t="s">
        <v>21</v>
      </c>
      <c r="E27" s="188">
        <v>8350</v>
      </c>
      <c r="F27" s="188">
        <v>8638.1</v>
      </c>
      <c r="G27" s="188">
        <v>8638.1</v>
      </c>
      <c r="H27" s="188">
        <f t="shared" si="1"/>
        <v>0</v>
      </c>
      <c r="I27" s="188">
        <f t="shared" si="0"/>
        <v>288.10000000000036</v>
      </c>
      <c r="J27" s="188"/>
      <c r="K27" s="188">
        <v>8638.1</v>
      </c>
      <c r="L27" s="188">
        <v>8638.1</v>
      </c>
    </row>
    <row r="28" spans="1:12" s="174" customFormat="1" ht="13.5">
      <c r="A28" s="285"/>
      <c r="B28" s="284"/>
      <c r="C28" s="281"/>
      <c r="D28" s="178" t="s">
        <v>142</v>
      </c>
      <c r="E28" s="188">
        <v>3519.5</v>
      </c>
      <c r="F28" s="188">
        <v>3639.9</v>
      </c>
      <c r="G28" s="188">
        <v>3639.9</v>
      </c>
      <c r="H28" s="188">
        <f t="shared" si="1"/>
        <v>0</v>
      </c>
      <c r="I28" s="188">
        <f t="shared" si="0"/>
        <v>120.40000000000009</v>
      </c>
      <c r="J28" s="188"/>
      <c r="K28" s="188">
        <v>3639.9</v>
      </c>
      <c r="L28" s="188">
        <v>3639.9</v>
      </c>
    </row>
    <row r="29" spans="1:12" s="174" customFormat="1" ht="13.5">
      <c r="A29" s="285"/>
      <c r="B29" s="284"/>
      <c r="C29" s="281"/>
      <c r="D29" s="178" t="s">
        <v>174</v>
      </c>
      <c r="E29" s="188"/>
      <c r="F29" s="188"/>
      <c r="G29" s="188"/>
      <c r="H29" s="188">
        <f t="shared" si="1"/>
        <v>0</v>
      </c>
      <c r="I29" s="188">
        <f t="shared" si="0"/>
        <v>0</v>
      </c>
      <c r="J29" s="188"/>
      <c r="K29" s="188"/>
      <c r="L29" s="188"/>
    </row>
    <row r="30" spans="1:12" s="174" customFormat="1" ht="14.25">
      <c r="A30" s="285"/>
      <c r="B30" s="284"/>
      <c r="C30" s="282">
        <v>4213</v>
      </c>
      <c r="D30" s="238" t="s">
        <v>22</v>
      </c>
      <c r="E30" s="325">
        <f>E32+E33</f>
        <v>99</v>
      </c>
      <c r="F30" s="325">
        <f>F32+F33</f>
        <v>187.8</v>
      </c>
      <c r="G30" s="325">
        <f>G32+G33</f>
        <v>187.8</v>
      </c>
      <c r="H30" s="325">
        <f t="shared" si="1"/>
        <v>0</v>
      </c>
      <c r="I30" s="325">
        <f t="shared" si="0"/>
        <v>88.80000000000001</v>
      </c>
      <c r="J30" s="325"/>
      <c r="K30" s="325">
        <f>K32+K33</f>
        <v>187.8</v>
      </c>
      <c r="L30" s="325">
        <f>L32+L33</f>
        <v>187.8</v>
      </c>
    </row>
    <row r="31" spans="1:12" s="174" customFormat="1" ht="13.5">
      <c r="A31" s="285"/>
      <c r="B31" s="284"/>
      <c r="C31" s="281"/>
      <c r="D31" s="178" t="s">
        <v>49</v>
      </c>
      <c r="E31" s="188"/>
      <c r="F31" s="188"/>
      <c r="G31" s="188"/>
      <c r="H31" s="188">
        <f t="shared" si="1"/>
        <v>0</v>
      </c>
      <c r="I31" s="188">
        <f t="shared" si="0"/>
        <v>0</v>
      </c>
      <c r="J31" s="188"/>
      <c r="K31" s="188"/>
      <c r="L31" s="188"/>
    </row>
    <row r="32" spans="1:12" s="174" customFormat="1" ht="27">
      <c r="A32" s="285"/>
      <c r="B32" s="284"/>
      <c r="C32" s="281"/>
      <c r="D32" s="184" t="s">
        <v>23</v>
      </c>
      <c r="E32" s="188">
        <v>62.7</v>
      </c>
      <c r="F32" s="188">
        <v>151.5</v>
      </c>
      <c r="G32" s="188">
        <v>151.5</v>
      </c>
      <c r="H32" s="188">
        <f t="shared" si="1"/>
        <v>0</v>
      </c>
      <c r="I32" s="188">
        <f t="shared" si="0"/>
        <v>88.8</v>
      </c>
      <c r="J32" s="411"/>
      <c r="K32" s="188">
        <v>151.5</v>
      </c>
      <c r="L32" s="188">
        <v>151.5</v>
      </c>
    </row>
    <row r="33" spans="1:12" s="174" customFormat="1" ht="27">
      <c r="A33" s="285"/>
      <c r="B33" s="284"/>
      <c r="C33" s="281"/>
      <c r="D33" s="184" t="s">
        <v>137</v>
      </c>
      <c r="E33" s="188">
        <v>36.3</v>
      </c>
      <c r="F33" s="188">
        <v>36.3</v>
      </c>
      <c r="G33" s="188">
        <v>36.3</v>
      </c>
      <c r="H33" s="188">
        <f t="shared" si="1"/>
        <v>0</v>
      </c>
      <c r="I33" s="188">
        <f t="shared" si="0"/>
        <v>0</v>
      </c>
      <c r="J33" s="188"/>
      <c r="K33" s="188">
        <v>36.3</v>
      </c>
      <c r="L33" s="188">
        <v>36.3</v>
      </c>
    </row>
    <row r="34" spans="1:12" s="174" customFormat="1" ht="14.25">
      <c r="A34" s="285"/>
      <c r="B34" s="284"/>
      <c r="C34" s="281">
        <v>4214</v>
      </c>
      <c r="D34" s="183" t="s">
        <v>24</v>
      </c>
      <c r="E34" s="188">
        <v>2409.2</v>
      </c>
      <c r="F34" s="188">
        <v>3163.2</v>
      </c>
      <c r="G34" s="188">
        <v>3403</v>
      </c>
      <c r="H34" s="188">
        <f t="shared" si="1"/>
        <v>239.80000000000018</v>
      </c>
      <c r="I34" s="188">
        <f t="shared" si="0"/>
        <v>993.8000000000002</v>
      </c>
      <c r="J34" s="188"/>
      <c r="K34" s="188">
        <v>3403</v>
      </c>
      <c r="L34" s="188">
        <v>3403</v>
      </c>
    </row>
    <row r="35" spans="1:12" s="172" customFormat="1" ht="23.25" customHeight="1">
      <c r="A35" s="285"/>
      <c r="B35" s="284"/>
      <c r="C35" s="281">
        <v>4215</v>
      </c>
      <c r="D35" s="183" t="s">
        <v>25</v>
      </c>
      <c r="E35" s="188">
        <v>142.5</v>
      </c>
      <c r="F35" s="188">
        <v>160</v>
      </c>
      <c r="G35" s="188">
        <v>160</v>
      </c>
      <c r="H35" s="188">
        <f t="shared" si="1"/>
        <v>0</v>
      </c>
      <c r="I35" s="188">
        <f t="shared" si="0"/>
        <v>17.5</v>
      </c>
      <c r="J35" s="188"/>
      <c r="K35" s="188">
        <v>160</v>
      </c>
      <c r="L35" s="188">
        <v>160</v>
      </c>
    </row>
    <row r="36" spans="1:12" s="111" customFormat="1" ht="14.25">
      <c r="A36" s="285"/>
      <c r="B36" s="284"/>
      <c r="C36" s="281">
        <v>4216</v>
      </c>
      <c r="D36" s="183" t="s">
        <v>26</v>
      </c>
      <c r="E36" s="188">
        <v>12233.3</v>
      </c>
      <c r="F36" s="188">
        <v>12233.3</v>
      </c>
      <c r="G36" s="188">
        <v>12233.3</v>
      </c>
      <c r="H36" s="188">
        <f t="shared" si="1"/>
        <v>0</v>
      </c>
      <c r="I36" s="188">
        <f t="shared" si="0"/>
        <v>0</v>
      </c>
      <c r="J36" s="188"/>
      <c r="K36" s="188">
        <v>12233.3</v>
      </c>
      <c r="L36" s="188">
        <v>12233.3</v>
      </c>
    </row>
    <row r="37" spans="1:12" s="111" customFormat="1" ht="14.25">
      <c r="A37" s="285"/>
      <c r="B37" s="284"/>
      <c r="C37" s="281">
        <v>4217</v>
      </c>
      <c r="D37" s="183" t="s">
        <v>27</v>
      </c>
      <c r="E37" s="188"/>
      <c r="F37" s="188"/>
      <c r="G37" s="188"/>
      <c r="H37" s="188">
        <f t="shared" si="1"/>
        <v>0</v>
      </c>
      <c r="I37" s="188">
        <f>G37-E37</f>
        <v>0</v>
      </c>
      <c r="J37" s="188"/>
      <c r="K37" s="188"/>
      <c r="L37" s="188"/>
    </row>
    <row r="38" spans="1:12" s="111" customFormat="1" ht="14.25">
      <c r="A38" s="285"/>
      <c r="B38" s="284"/>
      <c r="C38" s="282"/>
      <c r="D38" s="238" t="s">
        <v>186</v>
      </c>
      <c r="E38" s="325">
        <f>E40+E41</f>
        <v>6876.8</v>
      </c>
      <c r="F38" s="325">
        <f>F40+F41</f>
        <v>7253.7</v>
      </c>
      <c r="G38" s="325">
        <f>G40+G41</f>
        <v>9603.8</v>
      </c>
      <c r="H38" s="325">
        <f t="shared" si="1"/>
        <v>2350.0999999999995</v>
      </c>
      <c r="I38" s="325">
        <f t="shared" si="0"/>
        <v>2726.999999999999</v>
      </c>
      <c r="J38" s="325"/>
      <c r="K38" s="325">
        <f>K40+K41</f>
        <v>9603.8</v>
      </c>
      <c r="L38" s="325">
        <f>L40+L41</f>
        <v>9603.8</v>
      </c>
    </row>
    <row r="39" spans="1:12" s="111" customFormat="1" ht="13.5">
      <c r="A39" s="285"/>
      <c r="B39" s="284"/>
      <c r="C39" s="281"/>
      <c r="D39" s="178" t="s">
        <v>49</v>
      </c>
      <c r="E39" s="100"/>
      <c r="F39" s="100"/>
      <c r="G39" s="100"/>
      <c r="H39" s="100">
        <f t="shared" si="1"/>
        <v>0</v>
      </c>
      <c r="I39" s="100">
        <f t="shared" si="0"/>
        <v>0</v>
      </c>
      <c r="J39" s="100"/>
      <c r="K39" s="100"/>
      <c r="L39" s="100"/>
    </row>
    <row r="40" spans="1:12" s="111" customFormat="1" ht="13.5">
      <c r="A40" s="285"/>
      <c r="B40" s="284"/>
      <c r="C40" s="281" t="s">
        <v>371</v>
      </c>
      <c r="D40" s="178" t="s">
        <v>28</v>
      </c>
      <c r="E40" s="100">
        <v>5856.8</v>
      </c>
      <c r="F40" s="100">
        <v>5893.7</v>
      </c>
      <c r="G40" s="100">
        <v>8243.8</v>
      </c>
      <c r="H40" s="100">
        <f t="shared" si="1"/>
        <v>2350.0999999999995</v>
      </c>
      <c r="I40" s="100">
        <f t="shared" si="0"/>
        <v>2386.999999999999</v>
      </c>
      <c r="J40" s="100"/>
      <c r="K40" s="100">
        <v>8243.8</v>
      </c>
      <c r="L40" s="100">
        <v>8243.8</v>
      </c>
    </row>
    <row r="41" spans="1:12" s="111" customFormat="1" ht="13.5">
      <c r="A41" s="285"/>
      <c r="B41" s="284"/>
      <c r="C41" s="281">
        <v>4222</v>
      </c>
      <c r="D41" s="178" t="s">
        <v>29</v>
      </c>
      <c r="E41" s="100">
        <v>1020</v>
      </c>
      <c r="F41" s="100">
        <v>1360</v>
      </c>
      <c r="G41" s="100">
        <v>1360</v>
      </c>
      <c r="H41" s="100">
        <f t="shared" si="1"/>
        <v>0</v>
      </c>
      <c r="I41" s="100">
        <f t="shared" si="0"/>
        <v>340</v>
      </c>
      <c r="J41" s="100"/>
      <c r="K41" s="100">
        <v>1360</v>
      </c>
      <c r="L41" s="100">
        <v>1360</v>
      </c>
    </row>
    <row r="42" spans="1:12" s="174" customFormat="1" ht="19.5" customHeight="1">
      <c r="A42" s="285"/>
      <c r="B42" s="284"/>
      <c r="C42" s="281">
        <v>4231</v>
      </c>
      <c r="D42" s="179" t="s">
        <v>30</v>
      </c>
      <c r="E42" s="100"/>
      <c r="F42" s="100"/>
      <c r="G42" s="100"/>
      <c r="H42" s="100">
        <f t="shared" si="1"/>
        <v>0</v>
      </c>
      <c r="I42" s="100">
        <f t="shared" si="0"/>
        <v>0</v>
      </c>
      <c r="J42" s="100"/>
      <c r="K42" s="100"/>
      <c r="L42" s="100"/>
    </row>
    <row r="43" spans="1:12" s="174" customFormat="1" ht="16.5">
      <c r="A43" s="285"/>
      <c r="B43" s="284"/>
      <c r="C43" s="281">
        <v>4232</v>
      </c>
      <c r="D43" s="179" t="s">
        <v>31</v>
      </c>
      <c r="E43" s="100">
        <v>3671</v>
      </c>
      <c r="F43" s="100">
        <v>3060</v>
      </c>
      <c r="G43" s="100">
        <v>3671</v>
      </c>
      <c r="H43" s="100">
        <f t="shared" si="1"/>
        <v>611</v>
      </c>
      <c r="I43" s="100">
        <f aca="true" t="shared" si="2" ref="I43:I69">G43-E43</f>
        <v>0</v>
      </c>
      <c r="J43" s="266"/>
      <c r="K43" s="100">
        <v>3671</v>
      </c>
      <c r="L43" s="100">
        <v>3671</v>
      </c>
    </row>
    <row r="44" spans="1:12" s="174" customFormat="1" ht="28.5">
      <c r="A44" s="285"/>
      <c r="B44" s="284"/>
      <c r="C44" s="281">
        <v>4233</v>
      </c>
      <c r="D44" s="179" t="s">
        <v>170</v>
      </c>
      <c r="E44" s="100">
        <v>187</v>
      </c>
      <c r="F44" s="100">
        <v>258.8</v>
      </c>
      <c r="G44" s="100">
        <v>258.8</v>
      </c>
      <c r="H44" s="100">
        <f t="shared" si="1"/>
        <v>0</v>
      </c>
      <c r="I44" s="100">
        <f t="shared" si="2"/>
        <v>71.80000000000001</v>
      </c>
      <c r="J44" s="266"/>
      <c r="K44" s="100">
        <v>258.8</v>
      </c>
      <c r="L44" s="100">
        <v>258.8</v>
      </c>
    </row>
    <row r="45" spans="1:12" s="174" customFormat="1" ht="18.75" customHeight="1">
      <c r="A45" s="285"/>
      <c r="B45" s="284"/>
      <c r="C45" s="281">
        <v>4234</v>
      </c>
      <c r="D45" s="179" t="s">
        <v>32</v>
      </c>
      <c r="E45" s="188">
        <v>328</v>
      </c>
      <c r="F45" s="188">
        <v>160</v>
      </c>
      <c r="G45" s="188">
        <v>160</v>
      </c>
      <c r="H45" s="188">
        <f t="shared" si="1"/>
        <v>0</v>
      </c>
      <c r="I45" s="188">
        <f t="shared" si="2"/>
        <v>-168</v>
      </c>
      <c r="J45" s="188"/>
      <c r="K45" s="188">
        <v>160</v>
      </c>
      <c r="L45" s="188">
        <v>160</v>
      </c>
    </row>
    <row r="46" spans="1:12" s="172" customFormat="1" ht="18.75" customHeight="1">
      <c r="A46" s="285"/>
      <c r="B46" s="284"/>
      <c r="C46" s="281">
        <v>4235</v>
      </c>
      <c r="D46" s="179" t="s">
        <v>33</v>
      </c>
      <c r="E46" s="188">
        <v>4080</v>
      </c>
      <c r="F46" s="188">
        <v>10050</v>
      </c>
      <c r="G46" s="188">
        <v>10050</v>
      </c>
      <c r="H46" s="188">
        <f t="shared" si="1"/>
        <v>0</v>
      </c>
      <c r="I46" s="188">
        <f t="shared" si="2"/>
        <v>5970</v>
      </c>
      <c r="J46" s="188"/>
      <c r="K46" s="188">
        <v>10050</v>
      </c>
      <c r="L46" s="188">
        <v>10050</v>
      </c>
    </row>
    <row r="47" spans="1:12" s="174" customFormat="1" ht="28.5">
      <c r="A47" s="285"/>
      <c r="B47" s="284"/>
      <c r="C47" s="281">
        <v>4236</v>
      </c>
      <c r="D47" s="179" t="s">
        <v>34</v>
      </c>
      <c r="E47" s="188"/>
      <c r="F47" s="188"/>
      <c r="G47" s="188"/>
      <c r="H47" s="188">
        <f t="shared" si="1"/>
        <v>0</v>
      </c>
      <c r="I47" s="188">
        <f t="shared" si="2"/>
        <v>0</v>
      </c>
      <c r="J47" s="188"/>
      <c r="K47" s="188"/>
      <c r="L47" s="188"/>
    </row>
    <row r="48" spans="1:12" s="172" customFormat="1" ht="18.75" customHeight="1">
      <c r="A48" s="285"/>
      <c r="B48" s="284"/>
      <c r="C48" s="281">
        <v>4237</v>
      </c>
      <c r="D48" s="179" t="s">
        <v>35</v>
      </c>
      <c r="E48" s="188">
        <v>300</v>
      </c>
      <c r="F48" s="188">
        <v>300</v>
      </c>
      <c r="G48" s="188">
        <v>300</v>
      </c>
      <c r="H48" s="188">
        <f t="shared" si="1"/>
        <v>0</v>
      </c>
      <c r="I48" s="188">
        <f t="shared" si="2"/>
        <v>0</v>
      </c>
      <c r="J48" s="188"/>
      <c r="K48" s="188">
        <v>300</v>
      </c>
      <c r="L48" s="188">
        <v>300</v>
      </c>
    </row>
    <row r="49" spans="1:12" s="172" customFormat="1" ht="18.75" customHeight="1">
      <c r="A49" s="285"/>
      <c r="B49" s="284"/>
      <c r="C49" s="281">
        <v>4239</v>
      </c>
      <c r="D49" s="177" t="s">
        <v>36</v>
      </c>
      <c r="E49" s="171">
        <v>449.7</v>
      </c>
      <c r="F49" s="171">
        <v>450</v>
      </c>
      <c r="G49" s="171">
        <v>450</v>
      </c>
      <c r="H49" s="171">
        <f t="shared" si="1"/>
        <v>0</v>
      </c>
      <c r="I49" s="171">
        <f t="shared" si="2"/>
        <v>0.30000000000001137</v>
      </c>
      <c r="J49" s="171"/>
      <c r="K49" s="171">
        <v>450</v>
      </c>
      <c r="L49" s="171">
        <v>450</v>
      </c>
    </row>
    <row r="50" spans="1:12" s="172" customFormat="1" ht="18.75" customHeight="1">
      <c r="A50" s="285"/>
      <c r="B50" s="284"/>
      <c r="C50" s="281">
        <v>4241</v>
      </c>
      <c r="D50" s="179" t="s">
        <v>37</v>
      </c>
      <c r="E50" s="188"/>
      <c r="F50" s="188"/>
      <c r="G50" s="188"/>
      <c r="H50" s="188">
        <f t="shared" si="1"/>
        <v>0</v>
      </c>
      <c r="I50" s="188">
        <f t="shared" si="2"/>
        <v>0</v>
      </c>
      <c r="J50" s="188"/>
      <c r="K50" s="188"/>
      <c r="L50" s="188"/>
    </row>
    <row r="51" spans="1:12" s="172" customFormat="1" ht="28.5">
      <c r="A51" s="285"/>
      <c r="B51" s="284"/>
      <c r="C51" s="281">
        <v>4251</v>
      </c>
      <c r="D51" s="177" t="s">
        <v>38</v>
      </c>
      <c r="E51" s="171">
        <v>661.6</v>
      </c>
      <c r="F51" s="171">
        <v>662.4</v>
      </c>
      <c r="G51" s="171">
        <v>662.4</v>
      </c>
      <c r="H51" s="171">
        <f t="shared" si="1"/>
        <v>0</v>
      </c>
      <c r="I51" s="171">
        <f t="shared" si="2"/>
        <v>0.7999999999999545</v>
      </c>
      <c r="J51" s="171"/>
      <c r="K51" s="171">
        <v>662.4</v>
      </c>
      <c r="L51" s="171">
        <v>662.4</v>
      </c>
    </row>
    <row r="52" spans="1:12" s="172" customFormat="1" ht="28.5">
      <c r="A52" s="285"/>
      <c r="B52" s="284"/>
      <c r="C52" s="282">
        <v>4252</v>
      </c>
      <c r="D52" s="238" t="s">
        <v>39</v>
      </c>
      <c r="E52" s="325">
        <f>E54+E55</f>
        <v>1112</v>
      </c>
      <c r="F52" s="325">
        <f>F54+F55</f>
        <v>1012</v>
      </c>
      <c r="G52" s="325">
        <f>G54+G55</f>
        <v>1012</v>
      </c>
      <c r="H52" s="325">
        <f t="shared" si="1"/>
        <v>0</v>
      </c>
      <c r="I52" s="325">
        <f t="shared" si="2"/>
        <v>-100</v>
      </c>
      <c r="J52" s="325"/>
      <c r="K52" s="325">
        <f>K54+K55</f>
        <v>1012</v>
      </c>
      <c r="L52" s="325">
        <f>L54+L55</f>
        <v>1012</v>
      </c>
    </row>
    <row r="53" spans="1:12" s="172" customFormat="1" ht="13.5">
      <c r="A53" s="285"/>
      <c r="B53" s="284"/>
      <c r="C53" s="281"/>
      <c r="D53" s="178" t="s">
        <v>49</v>
      </c>
      <c r="E53" s="171"/>
      <c r="F53" s="171"/>
      <c r="G53" s="171"/>
      <c r="H53" s="171">
        <f t="shared" si="1"/>
        <v>0</v>
      </c>
      <c r="I53" s="171">
        <f t="shared" si="2"/>
        <v>0</v>
      </c>
      <c r="J53" s="171"/>
      <c r="K53" s="171"/>
      <c r="L53" s="171"/>
    </row>
    <row r="54" spans="1:12" s="174" customFormat="1" ht="27">
      <c r="A54" s="285"/>
      <c r="B54" s="284"/>
      <c r="C54" s="281"/>
      <c r="D54" s="185" t="s">
        <v>40</v>
      </c>
      <c r="E54" s="171">
        <v>712</v>
      </c>
      <c r="F54" s="171">
        <v>612</v>
      </c>
      <c r="G54" s="171">
        <v>612</v>
      </c>
      <c r="H54" s="171">
        <f t="shared" si="1"/>
        <v>0</v>
      </c>
      <c r="I54" s="171">
        <f t="shared" si="2"/>
        <v>-100</v>
      </c>
      <c r="J54" s="171"/>
      <c r="K54" s="171">
        <v>612</v>
      </c>
      <c r="L54" s="171">
        <v>612</v>
      </c>
    </row>
    <row r="55" spans="1:12" s="174" customFormat="1" ht="27">
      <c r="A55" s="285"/>
      <c r="B55" s="284"/>
      <c r="C55" s="281"/>
      <c r="D55" s="185" t="s">
        <v>41</v>
      </c>
      <c r="E55" s="171">
        <v>400</v>
      </c>
      <c r="F55" s="171">
        <v>400</v>
      </c>
      <c r="G55" s="171">
        <v>400</v>
      </c>
      <c r="H55" s="171">
        <f t="shared" si="1"/>
        <v>0</v>
      </c>
      <c r="I55" s="171">
        <f t="shared" si="2"/>
        <v>0</v>
      </c>
      <c r="J55" s="171"/>
      <c r="K55" s="171">
        <v>400</v>
      </c>
      <c r="L55" s="171">
        <v>400</v>
      </c>
    </row>
    <row r="56" spans="1:12" s="174" customFormat="1" ht="14.25">
      <c r="A56" s="285"/>
      <c r="B56" s="284"/>
      <c r="C56" s="282">
        <v>4261</v>
      </c>
      <c r="D56" s="238" t="s">
        <v>42</v>
      </c>
      <c r="E56" s="325">
        <f>E58+E59</f>
        <v>1295.1</v>
      </c>
      <c r="F56" s="325">
        <f>F58+F59</f>
        <v>1049.2</v>
      </c>
      <c r="G56" s="325">
        <f>G58+G59</f>
        <v>1295.1</v>
      </c>
      <c r="H56" s="325">
        <f t="shared" si="1"/>
        <v>245.89999999999986</v>
      </c>
      <c r="I56" s="325">
        <f t="shared" si="2"/>
        <v>0</v>
      </c>
      <c r="J56" s="325"/>
      <c r="K56" s="325">
        <f>K58+K59</f>
        <v>1295.1</v>
      </c>
      <c r="L56" s="325">
        <f>L58+L59</f>
        <v>1295.1</v>
      </c>
    </row>
    <row r="57" spans="1:12" s="174" customFormat="1" ht="13.5">
      <c r="A57" s="285"/>
      <c r="B57" s="284"/>
      <c r="C57" s="281"/>
      <c r="D57" s="178" t="s">
        <v>49</v>
      </c>
      <c r="E57" s="188"/>
      <c r="F57" s="188"/>
      <c r="G57" s="188"/>
      <c r="H57" s="188">
        <f t="shared" si="1"/>
        <v>0</v>
      </c>
      <c r="I57" s="188">
        <f t="shared" si="2"/>
        <v>0</v>
      </c>
      <c r="J57" s="188"/>
      <c r="K57" s="188"/>
      <c r="L57" s="188"/>
    </row>
    <row r="58" spans="1:12" s="174" customFormat="1" ht="13.5">
      <c r="A58" s="285"/>
      <c r="B58" s="284"/>
      <c r="C58" s="281"/>
      <c r="D58" s="178" t="s">
        <v>43</v>
      </c>
      <c r="E58" s="188">
        <v>1295.1</v>
      </c>
      <c r="F58" s="188">
        <v>1049.2</v>
      </c>
      <c r="G58" s="188">
        <v>1295.1</v>
      </c>
      <c r="H58" s="188">
        <f t="shared" si="1"/>
        <v>245.89999999999986</v>
      </c>
      <c r="I58" s="188">
        <f t="shared" si="2"/>
        <v>0</v>
      </c>
      <c r="J58" s="188"/>
      <c r="K58" s="188">
        <v>1295.1</v>
      </c>
      <c r="L58" s="188">
        <v>1295.1</v>
      </c>
    </row>
    <row r="59" spans="1:12" s="174" customFormat="1" ht="13.5">
      <c r="A59" s="285"/>
      <c r="B59" s="284"/>
      <c r="C59" s="281"/>
      <c r="D59" s="178" t="s">
        <v>44</v>
      </c>
      <c r="E59" s="188"/>
      <c r="F59" s="188"/>
      <c r="G59" s="188"/>
      <c r="H59" s="188">
        <f t="shared" si="1"/>
        <v>0</v>
      </c>
      <c r="I59" s="188">
        <f t="shared" si="2"/>
        <v>0</v>
      </c>
      <c r="J59" s="188"/>
      <c r="K59" s="188"/>
      <c r="L59" s="188"/>
    </row>
    <row r="60" spans="1:12" s="174" customFormat="1" ht="14.25">
      <c r="A60" s="285"/>
      <c r="B60" s="284"/>
      <c r="C60" s="281">
        <v>4262</v>
      </c>
      <c r="D60" s="179" t="s">
        <v>150</v>
      </c>
      <c r="E60" s="188"/>
      <c r="F60" s="188"/>
      <c r="G60" s="188"/>
      <c r="H60" s="188">
        <f t="shared" si="1"/>
        <v>0</v>
      </c>
      <c r="I60" s="188">
        <f t="shared" si="2"/>
        <v>0</v>
      </c>
      <c r="J60" s="188"/>
      <c r="K60" s="188"/>
      <c r="L60" s="188"/>
    </row>
    <row r="61" spans="1:12" s="174" customFormat="1" ht="14.25">
      <c r="A61" s="285"/>
      <c r="B61" s="284"/>
      <c r="C61" s="281">
        <v>4264</v>
      </c>
      <c r="D61" s="179" t="s">
        <v>149</v>
      </c>
      <c r="E61" s="188">
        <v>3722.4</v>
      </c>
      <c r="F61" s="188">
        <v>4150</v>
      </c>
      <c r="G61" s="188">
        <v>4150</v>
      </c>
      <c r="H61" s="188">
        <f t="shared" si="1"/>
        <v>0</v>
      </c>
      <c r="I61" s="188">
        <f t="shared" si="2"/>
        <v>427.5999999999999</v>
      </c>
      <c r="J61" s="188"/>
      <c r="K61" s="188">
        <v>4150</v>
      </c>
      <c r="L61" s="188">
        <v>4150</v>
      </c>
    </row>
    <row r="62" spans="1:12" s="174" customFormat="1" ht="22.5" customHeight="1">
      <c r="A62" s="285"/>
      <c r="B62" s="284"/>
      <c r="C62" s="281">
        <v>4266</v>
      </c>
      <c r="D62" s="179" t="s">
        <v>192</v>
      </c>
      <c r="E62" s="188"/>
      <c r="F62" s="188"/>
      <c r="G62" s="188"/>
      <c r="H62" s="188">
        <f t="shared" si="1"/>
        <v>0</v>
      </c>
      <c r="I62" s="188">
        <f t="shared" si="2"/>
        <v>0</v>
      </c>
      <c r="J62" s="188"/>
      <c r="K62" s="188"/>
      <c r="L62" s="188"/>
    </row>
    <row r="63" spans="1:12" s="174" customFormat="1" ht="14.25">
      <c r="A63" s="285"/>
      <c r="B63" s="284"/>
      <c r="C63" s="281">
        <v>4267</v>
      </c>
      <c r="D63" s="179" t="s">
        <v>151</v>
      </c>
      <c r="E63" s="188">
        <v>451.9</v>
      </c>
      <c r="F63" s="188">
        <v>452.2</v>
      </c>
      <c r="G63" s="188">
        <v>452.2</v>
      </c>
      <c r="H63" s="188">
        <f t="shared" si="1"/>
        <v>0</v>
      </c>
      <c r="I63" s="188">
        <f t="shared" si="2"/>
        <v>0.30000000000001137</v>
      </c>
      <c r="J63" s="188"/>
      <c r="K63" s="188">
        <v>452.2</v>
      </c>
      <c r="L63" s="188">
        <v>452.2</v>
      </c>
    </row>
    <row r="64" spans="1:12" s="174" customFormat="1" ht="14.25">
      <c r="A64" s="285"/>
      <c r="B64" s="284"/>
      <c r="C64" s="281">
        <v>4269</v>
      </c>
      <c r="D64" s="179" t="s">
        <v>45</v>
      </c>
      <c r="E64" s="188"/>
      <c r="F64" s="188"/>
      <c r="G64" s="188"/>
      <c r="H64" s="188">
        <f t="shared" si="1"/>
        <v>0</v>
      </c>
      <c r="I64" s="188">
        <f t="shared" si="2"/>
        <v>0</v>
      </c>
      <c r="J64" s="188"/>
      <c r="K64" s="188"/>
      <c r="L64" s="188"/>
    </row>
    <row r="65" spans="1:12" s="176" customFormat="1" ht="21" customHeight="1">
      <c r="A65" s="285"/>
      <c r="B65" s="284"/>
      <c r="C65" s="281">
        <v>4729</v>
      </c>
      <c r="D65" s="179" t="s">
        <v>46</v>
      </c>
      <c r="E65" s="191">
        <v>29565</v>
      </c>
      <c r="F65" s="191">
        <v>30000</v>
      </c>
      <c r="G65" s="188">
        <v>30000</v>
      </c>
      <c r="H65" s="188">
        <f t="shared" si="1"/>
        <v>0</v>
      </c>
      <c r="I65" s="188">
        <f t="shared" si="2"/>
        <v>435</v>
      </c>
      <c r="J65" s="191"/>
      <c r="K65" s="188">
        <v>30000</v>
      </c>
      <c r="L65" s="188">
        <v>30000</v>
      </c>
    </row>
    <row r="66" spans="1:12" s="176" customFormat="1" ht="21" customHeight="1">
      <c r="A66" s="285"/>
      <c r="B66" s="284"/>
      <c r="C66" s="281" t="s">
        <v>364</v>
      </c>
      <c r="D66" s="178" t="s">
        <v>365</v>
      </c>
      <c r="E66" s="191"/>
      <c r="F66" s="191"/>
      <c r="G66" s="188"/>
      <c r="H66" s="188"/>
      <c r="I66" s="188"/>
      <c r="J66" s="191"/>
      <c r="K66" s="188"/>
      <c r="L66" s="188"/>
    </row>
    <row r="67" spans="1:12" s="176" customFormat="1" ht="22.5" customHeight="1">
      <c r="A67" s="285"/>
      <c r="B67" s="284"/>
      <c r="C67" s="281">
        <v>4822</v>
      </c>
      <c r="D67" s="179" t="s">
        <v>47</v>
      </c>
      <c r="E67" s="191"/>
      <c r="F67" s="191"/>
      <c r="G67" s="188"/>
      <c r="H67" s="188">
        <f t="shared" si="1"/>
        <v>0</v>
      </c>
      <c r="I67" s="188">
        <f t="shared" si="2"/>
        <v>0</v>
      </c>
      <c r="J67" s="191"/>
      <c r="K67" s="188"/>
      <c r="L67" s="188"/>
    </row>
    <row r="68" spans="1:12" s="176" customFormat="1" ht="19.5" customHeight="1">
      <c r="A68" s="285"/>
      <c r="B68" s="284"/>
      <c r="C68" s="282">
        <v>4823</v>
      </c>
      <c r="D68" s="238" t="s">
        <v>48</v>
      </c>
      <c r="E68" s="325">
        <f>E70+E71+E72</f>
        <v>500.90000000000003</v>
      </c>
      <c r="F68" s="325">
        <f>F70+F71+F72</f>
        <v>421.1</v>
      </c>
      <c r="G68" s="325">
        <f>G70+G71+G72</f>
        <v>521.1</v>
      </c>
      <c r="H68" s="325">
        <f>H70+H71+H72</f>
        <v>100</v>
      </c>
      <c r="I68" s="325">
        <f>G68-F68</f>
        <v>100</v>
      </c>
      <c r="J68" s="325"/>
      <c r="K68" s="325">
        <f>K70+K71+K72</f>
        <v>421.1</v>
      </c>
      <c r="L68" s="325">
        <f>L70+L71+L72</f>
        <v>421.1</v>
      </c>
    </row>
    <row r="69" spans="1:12" s="176" customFormat="1" ht="14.25">
      <c r="A69" s="285"/>
      <c r="B69" s="284"/>
      <c r="C69" s="281"/>
      <c r="D69" s="178" t="s">
        <v>49</v>
      </c>
      <c r="E69" s="191"/>
      <c r="F69" s="191"/>
      <c r="G69" s="188"/>
      <c r="H69" s="188">
        <f t="shared" si="1"/>
        <v>0</v>
      </c>
      <c r="I69" s="188">
        <f t="shared" si="2"/>
        <v>0</v>
      </c>
      <c r="J69" s="191"/>
      <c r="K69" s="188"/>
      <c r="L69" s="188"/>
    </row>
    <row r="70" spans="1:12" s="174" customFormat="1" ht="27">
      <c r="A70" s="285"/>
      <c r="B70" s="284"/>
      <c r="C70" s="281"/>
      <c r="D70" s="178" t="s">
        <v>140</v>
      </c>
      <c r="E70" s="191">
        <v>44</v>
      </c>
      <c r="F70" s="191">
        <v>44</v>
      </c>
      <c r="G70" s="188">
        <v>44</v>
      </c>
      <c r="H70" s="188">
        <f aca="true" t="shared" si="3" ref="H70:H77">+G70-F70</f>
        <v>0</v>
      </c>
      <c r="I70" s="188">
        <f>G70-E70</f>
        <v>0</v>
      </c>
      <c r="J70" s="191"/>
      <c r="K70" s="191">
        <v>44</v>
      </c>
      <c r="L70" s="188">
        <v>44</v>
      </c>
    </row>
    <row r="71" spans="1:12" ht="27.75" customHeight="1">
      <c r="A71" s="285"/>
      <c r="B71" s="284"/>
      <c r="C71" s="281"/>
      <c r="D71" s="178" t="s">
        <v>138</v>
      </c>
      <c r="E71" s="191">
        <v>377.1</v>
      </c>
      <c r="F71" s="191">
        <v>377.1</v>
      </c>
      <c r="G71" s="188">
        <v>377.1</v>
      </c>
      <c r="H71" s="188">
        <f t="shared" si="3"/>
        <v>0</v>
      </c>
      <c r="I71" s="188">
        <f>G71-E71</f>
        <v>0</v>
      </c>
      <c r="J71" s="191"/>
      <c r="K71" s="191">
        <v>377.1</v>
      </c>
      <c r="L71" s="188">
        <v>377.1</v>
      </c>
    </row>
    <row r="72" spans="1:12" ht="14.25">
      <c r="A72" s="285"/>
      <c r="B72" s="284"/>
      <c r="C72" s="281"/>
      <c r="D72" s="178" t="s">
        <v>139</v>
      </c>
      <c r="E72" s="191">
        <v>79.8</v>
      </c>
      <c r="F72" s="191"/>
      <c r="G72" s="188">
        <v>100</v>
      </c>
      <c r="H72" s="188">
        <f t="shared" si="3"/>
        <v>100</v>
      </c>
      <c r="I72" s="188">
        <f>G72-E72</f>
        <v>20.200000000000003</v>
      </c>
      <c r="J72" s="191"/>
      <c r="K72" s="188"/>
      <c r="L72" s="188"/>
    </row>
    <row r="73" spans="4:12" ht="14.25" customHeight="1">
      <c r="D73" s="237"/>
      <c r="E73" s="267"/>
      <c r="F73" s="267"/>
      <c r="G73" s="267"/>
      <c r="H73" s="267"/>
      <c r="I73" s="267"/>
      <c r="J73" s="267"/>
      <c r="K73" s="267"/>
      <c r="L73" s="267"/>
    </row>
    <row r="74" spans="1:12" s="24" customFormat="1" ht="28.5">
      <c r="A74" s="615" t="s">
        <v>196</v>
      </c>
      <c r="B74" s="615"/>
      <c r="C74" s="189"/>
      <c r="D74" s="32" t="s">
        <v>50</v>
      </c>
      <c r="E74" s="23">
        <f>SUM(E76:E78)</f>
        <v>3786.2</v>
      </c>
      <c r="F74" s="23">
        <f>SUM(F76:F78)</f>
        <v>5100</v>
      </c>
      <c r="G74" s="23">
        <f>SUM(G76:G78)</f>
        <v>4000</v>
      </c>
      <c r="H74" s="23">
        <f>+G74-F74</f>
        <v>-1100</v>
      </c>
      <c r="I74" s="23">
        <f>G74-E74</f>
        <v>213.80000000000018</v>
      </c>
      <c r="J74" s="23"/>
      <c r="K74" s="23">
        <f>SUM(K76:K78)</f>
        <v>4000</v>
      </c>
      <c r="L74" s="23">
        <f>SUM(L76:L78)</f>
        <v>4000</v>
      </c>
    </row>
    <row r="75" spans="1:12" s="16" customFormat="1" ht="23.25" customHeight="1">
      <c r="A75" s="273" t="s">
        <v>197</v>
      </c>
      <c r="B75" s="273" t="s">
        <v>198</v>
      </c>
      <c r="C75" s="190"/>
      <c r="D75" s="13" t="s">
        <v>49</v>
      </c>
      <c r="E75" s="14"/>
      <c r="F75" s="14"/>
      <c r="G75" s="14"/>
      <c r="H75" s="14"/>
      <c r="I75" s="14"/>
      <c r="J75" s="14"/>
      <c r="K75" s="14"/>
      <c r="L75" s="14"/>
    </row>
    <row r="76" spans="1:12" s="30" customFormat="1" ht="14.25">
      <c r="A76" s="285">
        <v>1037</v>
      </c>
      <c r="B76" s="285">
        <v>31001</v>
      </c>
      <c r="C76" s="167">
        <v>5121</v>
      </c>
      <c r="D76" s="17" t="s">
        <v>51</v>
      </c>
      <c r="E76" s="33"/>
      <c r="F76" s="33"/>
      <c r="G76" s="160"/>
      <c r="H76" s="160">
        <f>+G76-F76</f>
        <v>0</v>
      </c>
      <c r="I76" s="160">
        <f>G76-E76</f>
        <v>0</v>
      </c>
      <c r="J76" s="33"/>
      <c r="K76" s="160"/>
      <c r="L76" s="160"/>
    </row>
    <row r="77" spans="1:12" s="30" customFormat="1" ht="15.75" customHeight="1">
      <c r="A77" s="285"/>
      <c r="B77" s="285"/>
      <c r="C77" s="167">
        <v>5122</v>
      </c>
      <c r="D77" s="17" t="s">
        <v>52</v>
      </c>
      <c r="E77" s="33">
        <v>3786.2</v>
      </c>
      <c r="F77" s="33">
        <v>5100</v>
      </c>
      <c r="G77" s="160">
        <v>4000</v>
      </c>
      <c r="H77" s="160">
        <f t="shared" si="3"/>
        <v>-1100</v>
      </c>
      <c r="I77" s="160">
        <f>G77-E77</f>
        <v>213.80000000000018</v>
      </c>
      <c r="J77" s="33"/>
      <c r="K77" s="160">
        <v>4000</v>
      </c>
      <c r="L77" s="160">
        <v>4000</v>
      </c>
    </row>
    <row r="78" spans="1:12" s="30" customFormat="1" ht="15.75" customHeight="1">
      <c r="A78" s="285"/>
      <c r="B78" s="285"/>
      <c r="C78" s="167">
        <v>5129</v>
      </c>
      <c r="D78" s="17" t="s">
        <v>53</v>
      </c>
      <c r="E78" s="33"/>
      <c r="F78" s="33"/>
      <c r="G78" s="160"/>
      <c r="H78" s="160">
        <f>+G78-F78</f>
        <v>0</v>
      </c>
      <c r="I78" s="160">
        <f>G78-E78</f>
        <v>0</v>
      </c>
      <c r="J78" s="33"/>
      <c r="K78" s="160"/>
      <c r="L78" s="160"/>
    </row>
  </sheetData>
  <sheetProtection/>
  <mergeCells count="11">
    <mergeCell ref="B17:B18"/>
    <mergeCell ref="C7:D7"/>
    <mergeCell ref="A6:B6"/>
    <mergeCell ref="A2:H2"/>
    <mergeCell ref="A74:B74"/>
    <mergeCell ref="A7:B7"/>
    <mergeCell ref="D3:I3"/>
    <mergeCell ref="A10:A18"/>
    <mergeCell ref="B10:B12"/>
    <mergeCell ref="B13:B14"/>
    <mergeCell ref="B15:B16"/>
  </mergeCells>
  <conditionalFormatting sqref="C8:D8 D14:D15">
    <cfRule type="cellIs" priority="13" dxfId="8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showGridLines="0" zoomScalePageLayoutView="0" workbookViewId="0" topLeftCell="A1">
      <selection activeCell="B3" sqref="B3:D3"/>
    </sheetView>
  </sheetViews>
  <sheetFormatPr defaultColWidth="9.140625" defaultRowHeight="12.75"/>
  <cols>
    <col min="1" max="1" width="4.8515625" style="3" customWidth="1"/>
    <col min="2" max="2" width="49.421875" style="4" customWidth="1"/>
    <col min="3" max="3" width="11.57421875" style="4" customWidth="1"/>
    <col min="4" max="4" width="10.28125" style="4" customWidth="1"/>
    <col min="5" max="5" width="11.7109375" style="4" customWidth="1"/>
    <col min="6" max="6" width="20.7109375" style="4" customWidth="1"/>
    <col min="7" max="7" width="10.28125" style="4" customWidth="1"/>
    <col min="8" max="8" width="11.421875" style="4" customWidth="1"/>
    <col min="9" max="9" width="20.7109375" style="4" customWidth="1"/>
    <col min="10" max="10" width="8.140625" style="4" bestFit="1" customWidth="1"/>
    <col min="11" max="11" width="12.57421875" style="4" customWidth="1"/>
    <col min="12" max="12" width="20.8515625" style="4" customWidth="1"/>
    <col min="13" max="13" width="8.140625" style="4" bestFit="1" customWidth="1"/>
    <col min="14" max="14" width="10.28125" style="4" customWidth="1"/>
    <col min="15" max="15" width="21.00390625" style="4" customWidth="1"/>
    <col min="16" max="16" width="13.57421875" style="4" customWidth="1"/>
    <col min="17" max="16384" width="9.140625" style="4" customWidth="1"/>
  </cols>
  <sheetData>
    <row r="1" spans="1:15" s="28" customFormat="1" ht="13.5">
      <c r="A1" s="195"/>
      <c r="B1" s="2"/>
      <c r="C1" s="2"/>
      <c r="D1" s="2"/>
      <c r="E1" s="2"/>
      <c r="F1" s="73"/>
      <c r="G1" s="2"/>
      <c r="H1" s="2"/>
      <c r="I1" s="73"/>
      <c r="J1" s="73"/>
      <c r="K1" s="2"/>
      <c r="L1" s="27"/>
      <c r="M1" s="27"/>
      <c r="N1" s="2"/>
      <c r="O1" s="86" t="s">
        <v>180</v>
      </c>
    </row>
    <row r="2" spans="1:15" s="28" customFormat="1" ht="12.75" customHeight="1">
      <c r="A2" s="195"/>
      <c r="B2" s="2"/>
      <c r="C2" s="2"/>
      <c r="D2" s="2"/>
      <c r="E2" s="2"/>
      <c r="F2" s="73"/>
      <c r="G2" s="2"/>
      <c r="H2" s="2"/>
      <c r="I2" s="73"/>
      <c r="J2" s="73"/>
      <c r="K2" s="2"/>
      <c r="L2" s="632" t="s">
        <v>10</v>
      </c>
      <c r="M2" s="632"/>
      <c r="N2" s="632"/>
      <c r="O2" s="632"/>
    </row>
    <row r="3" spans="1:10" s="28" customFormat="1" ht="15" thickBot="1">
      <c r="A3" s="27"/>
      <c r="B3" s="624" t="s">
        <v>947</v>
      </c>
      <c r="C3" s="624"/>
      <c r="D3" s="624"/>
      <c r="E3" s="133"/>
      <c r="F3" s="133"/>
      <c r="G3" s="133"/>
      <c r="H3" s="133"/>
      <c r="I3" s="133"/>
      <c r="J3" s="133"/>
    </row>
    <row r="4" spans="1:18" s="116" customFormat="1" ht="17.25" customHeight="1">
      <c r="A4" s="27"/>
      <c r="B4" s="251"/>
      <c r="F4" s="244"/>
      <c r="I4" s="244"/>
      <c r="J4" s="287"/>
      <c r="L4" s="115"/>
      <c r="M4" s="115"/>
      <c r="O4" s="115"/>
      <c r="P4" s="115"/>
      <c r="Q4" s="115"/>
      <c r="R4" s="115"/>
    </row>
    <row r="5" spans="1:15" s="28" customFormat="1" ht="54.75" customHeight="1">
      <c r="A5" s="252" t="s">
        <v>351</v>
      </c>
      <c r="B5" s="258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87"/>
    </row>
    <row r="6" spans="1:14" s="28" customFormat="1" ht="14.25" thickBot="1">
      <c r="A6" s="27"/>
      <c r="M6" s="231"/>
      <c r="N6" s="223"/>
    </row>
    <row r="7" spans="1:15" s="56" customFormat="1" ht="46.5" customHeight="1" thickBot="1">
      <c r="A7" s="246"/>
      <c r="B7" s="247"/>
      <c r="C7" s="248"/>
      <c r="D7" s="633" t="s">
        <v>357</v>
      </c>
      <c r="E7" s="634"/>
      <c r="F7" s="635"/>
      <c r="G7" s="633" t="s">
        <v>352</v>
      </c>
      <c r="H7" s="634"/>
      <c r="I7" s="635"/>
      <c r="J7" s="633" t="s">
        <v>353</v>
      </c>
      <c r="K7" s="634"/>
      <c r="L7" s="635"/>
      <c r="M7" s="636" t="s">
        <v>354</v>
      </c>
      <c r="N7" s="637"/>
      <c r="O7" s="638"/>
    </row>
    <row r="8" spans="1:15" s="71" customFormat="1" ht="55.5" customHeight="1" thickBot="1">
      <c r="A8" s="249" t="s">
        <v>6</v>
      </c>
      <c r="B8" s="246" t="s">
        <v>175</v>
      </c>
      <c r="C8" s="250" t="s">
        <v>179</v>
      </c>
      <c r="D8" s="239" t="s">
        <v>99</v>
      </c>
      <c r="E8" s="239" t="s">
        <v>341</v>
      </c>
      <c r="F8" s="236" t="s">
        <v>342</v>
      </c>
      <c r="G8" s="239" t="s">
        <v>99</v>
      </c>
      <c r="H8" s="239" t="s">
        <v>341</v>
      </c>
      <c r="I8" s="236" t="s">
        <v>342</v>
      </c>
      <c r="J8" s="239" t="s">
        <v>99</v>
      </c>
      <c r="K8" s="239" t="s">
        <v>341</v>
      </c>
      <c r="L8" s="236" t="s">
        <v>342</v>
      </c>
      <c r="M8" s="239" t="s">
        <v>99</v>
      </c>
      <c r="N8" s="239" t="s">
        <v>341</v>
      </c>
      <c r="O8" s="236" t="s">
        <v>342</v>
      </c>
    </row>
    <row r="9" spans="1:15" s="72" customFormat="1" ht="13.5" thickBot="1">
      <c r="A9" s="135">
        <v>1</v>
      </c>
      <c r="B9" s="259">
        <v>2</v>
      </c>
      <c r="C9" s="134">
        <v>3</v>
      </c>
      <c r="D9" s="136">
        <v>4</v>
      </c>
      <c r="E9" s="136"/>
      <c r="F9" s="136">
        <v>5</v>
      </c>
      <c r="G9" s="136">
        <v>4</v>
      </c>
      <c r="H9" s="136"/>
      <c r="I9" s="136">
        <v>5</v>
      </c>
      <c r="J9" s="136">
        <v>6</v>
      </c>
      <c r="K9" s="136"/>
      <c r="L9" s="136">
        <v>7</v>
      </c>
      <c r="M9" s="136">
        <v>8</v>
      </c>
      <c r="N9" s="136"/>
      <c r="O9" s="136">
        <v>9</v>
      </c>
    </row>
    <row r="10" spans="1:15" s="137" customFormat="1" ht="22.5" customHeight="1">
      <c r="A10" s="240">
        <v>1</v>
      </c>
      <c r="B10" s="260" t="s">
        <v>21</v>
      </c>
      <c r="C10" s="241">
        <v>4212</v>
      </c>
      <c r="D10" s="241"/>
      <c r="E10" s="241"/>
      <c r="F10" s="242">
        <f>SUM(F13:F15)</f>
        <v>11869.5</v>
      </c>
      <c r="G10" s="241"/>
      <c r="H10" s="241"/>
      <c r="I10" s="242">
        <f>SUM(I13:I15)</f>
        <v>12278</v>
      </c>
      <c r="J10" s="242"/>
      <c r="K10" s="241"/>
      <c r="L10" s="242">
        <f>SUM(L13:L15)</f>
        <v>12278</v>
      </c>
      <c r="M10" s="242">
        <f>J10-G10</f>
        <v>0</v>
      </c>
      <c r="N10" s="241"/>
      <c r="O10" s="242">
        <f>L10-I10</f>
        <v>0</v>
      </c>
    </row>
    <row r="11" spans="1:15" s="35" customFormat="1" ht="13.5">
      <c r="A11" s="51"/>
      <c r="B11" s="243" t="s">
        <v>76</v>
      </c>
      <c r="C11" s="51"/>
      <c r="D11" s="51"/>
      <c r="E11" s="51"/>
      <c r="F11" s="53"/>
      <c r="G11" s="51"/>
      <c r="H11" s="51"/>
      <c r="I11" s="53"/>
      <c r="J11" s="53"/>
      <c r="K11" s="51"/>
      <c r="L11" s="68"/>
      <c r="M11" s="68"/>
      <c r="N11" s="51"/>
      <c r="O11" s="68"/>
    </row>
    <row r="12" spans="1:15" s="35" customFormat="1" ht="13.5">
      <c r="A12" s="51"/>
      <c r="B12" s="261" t="s">
        <v>185</v>
      </c>
      <c r="C12" s="51"/>
      <c r="D12" s="51"/>
      <c r="E12" s="51"/>
      <c r="F12" s="53"/>
      <c r="G12" s="51"/>
      <c r="H12" s="51"/>
      <c r="I12" s="53"/>
      <c r="J12" s="53"/>
      <c r="K12" s="51"/>
      <c r="L12" s="68"/>
      <c r="M12" s="68"/>
      <c r="N12" s="51"/>
      <c r="O12" s="68"/>
    </row>
    <row r="13" spans="1:15" s="35" customFormat="1" ht="13.5">
      <c r="A13" s="51">
        <v>1</v>
      </c>
      <c r="B13" s="178" t="s">
        <v>21</v>
      </c>
      <c r="C13" s="51" t="s">
        <v>1</v>
      </c>
      <c r="D13" s="51">
        <v>1</v>
      </c>
      <c r="E13" s="51">
        <v>8350162</v>
      </c>
      <c r="F13" s="53">
        <v>8350.2</v>
      </c>
      <c r="G13" s="51">
        <v>1</v>
      </c>
      <c r="H13" s="51">
        <v>8638100</v>
      </c>
      <c r="I13" s="53">
        <v>8638.1</v>
      </c>
      <c r="J13" s="53">
        <v>1</v>
      </c>
      <c r="K13" s="51">
        <v>8638100</v>
      </c>
      <c r="L13" s="53">
        <v>8638.1</v>
      </c>
      <c r="M13" s="53">
        <f>J13-G13</f>
        <v>0</v>
      </c>
      <c r="N13" s="51"/>
      <c r="O13" s="53">
        <f>L13-I13</f>
        <v>0</v>
      </c>
    </row>
    <row r="14" spans="1:15" s="35" customFormat="1" ht="13.5">
      <c r="A14" s="51">
        <v>2</v>
      </c>
      <c r="B14" s="178" t="s">
        <v>142</v>
      </c>
      <c r="C14" s="51" t="s">
        <v>1</v>
      </c>
      <c r="D14" s="51">
        <v>1</v>
      </c>
      <c r="E14" s="51">
        <v>3519293</v>
      </c>
      <c r="F14" s="53">
        <v>3519.3</v>
      </c>
      <c r="G14" s="51">
        <v>1</v>
      </c>
      <c r="H14" s="51">
        <v>3639900</v>
      </c>
      <c r="I14" s="53">
        <v>3639.9</v>
      </c>
      <c r="J14" s="53">
        <v>1</v>
      </c>
      <c r="K14" s="51">
        <v>3639900</v>
      </c>
      <c r="L14" s="53">
        <v>3639.9</v>
      </c>
      <c r="M14" s="53">
        <f>J14-G14</f>
        <v>0</v>
      </c>
      <c r="N14" s="51"/>
      <c r="O14" s="53">
        <f>L14-I14</f>
        <v>0</v>
      </c>
    </row>
    <row r="15" spans="1:15" s="35" customFormat="1" ht="13.5">
      <c r="A15" s="51">
        <v>3</v>
      </c>
      <c r="B15" s="262"/>
      <c r="C15" s="51" t="s">
        <v>1</v>
      </c>
      <c r="D15" s="51"/>
      <c r="E15" s="51"/>
      <c r="F15" s="53"/>
      <c r="G15" s="51"/>
      <c r="H15" s="51"/>
      <c r="I15" s="53"/>
      <c r="J15" s="53"/>
      <c r="K15" s="51"/>
      <c r="L15" s="53"/>
      <c r="M15" s="53">
        <f>J15-G15</f>
        <v>0</v>
      </c>
      <c r="N15" s="51"/>
      <c r="O15" s="53">
        <f>L15-I15</f>
        <v>0</v>
      </c>
    </row>
    <row r="16" spans="1:15" s="137" customFormat="1" ht="23.25" customHeight="1">
      <c r="A16" s="240">
        <v>2</v>
      </c>
      <c r="B16" s="260" t="s">
        <v>22</v>
      </c>
      <c r="C16" s="241">
        <v>4213</v>
      </c>
      <c r="D16" s="241"/>
      <c r="E16" s="241"/>
      <c r="F16" s="242">
        <f>SUM(F19:F21)</f>
        <v>99.1</v>
      </c>
      <c r="G16" s="241"/>
      <c r="H16" s="241"/>
      <c r="I16" s="242">
        <f>SUM(I19:I21)</f>
        <v>187.8</v>
      </c>
      <c r="J16" s="242"/>
      <c r="K16" s="241"/>
      <c r="L16" s="242">
        <f>SUM(L19:L21)</f>
        <v>187.8</v>
      </c>
      <c r="M16" s="242">
        <f>J16-G16</f>
        <v>0</v>
      </c>
      <c r="N16" s="241"/>
      <c r="O16" s="242">
        <f>L16-I16</f>
        <v>0</v>
      </c>
    </row>
    <row r="17" spans="1:15" s="35" customFormat="1" ht="13.5">
      <c r="A17" s="138"/>
      <c r="B17" s="243" t="s">
        <v>76</v>
      </c>
      <c r="C17" s="51"/>
      <c r="D17" s="51"/>
      <c r="E17" s="51"/>
      <c r="F17" s="53"/>
      <c r="G17" s="51"/>
      <c r="H17" s="51"/>
      <c r="I17" s="53"/>
      <c r="J17" s="53"/>
      <c r="K17" s="51"/>
      <c r="L17" s="68"/>
      <c r="M17" s="68"/>
      <c r="N17" s="51"/>
      <c r="O17" s="68"/>
    </row>
    <row r="18" spans="1:15" s="35" customFormat="1" ht="13.5">
      <c r="A18" s="257"/>
      <c r="B18" s="261" t="s">
        <v>185</v>
      </c>
      <c r="C18" s="51"/>
      <c r="D18" s="51"/>
      <c r="E18" s="51"/>
      <c r="F18" s="53"/>
      <c r="G18" s="51"/>
      <c r="H18" s="51"/>
      <c r="I18" s="53"/>
      <c r="J18" s="53"/>
      <c r="K18" s="51"/>
      <c r="L18" s="68"/>
      <c r="M18" s="68"/>
      <c r="N18" s="51"/>
      <c r="O18" s="68"/>
    </row>
    <row r="19" spans="1:15" s="35" customFormat="1" ht="27">
      <c r="A19" s="51">
        <v>1</v>
      </c>
      <c r="B19" s="184" t="s">
        <v>23</v>
      </c>
      <c r="C19" s="51" t="s">
        <v>1</v>
      </c>
      <c r="D19" s="51">
        <v>1</v>
      </c>
      <c r="E19" s="51">
        <v>62747</v>
      </c>
      <c r="F19" s="53">
        <v>62.8</v>
      </c>
      <c r="G19" s="51">
        <v>1</v>
      </c>
      <c r="H19" s="51">
        <v>151500</v>
      </c>
      <c r="I19" s="53">
        <v>151.5</v>
      </c>
      <c r="J19" s="53">
        <v>1</v>
      </c>
      <c r="K19" s="51">
        <v>151500</v>
      </c>
      <c r="L19" s="53">
        <v>151.5</v>
      </c>
      <c r="M19" s="53">
        <f>J19-G19</f>
        <v>0</v>
      </c>
      <c r="N19" s="51"/>
      <c r="O19" s="53">
        <f>L19-I19</f>
        <v>0</v>
      </c>
    </row>
    <row r="20" spans="1:15" s="35" customFormat="1" ht="27">
      <c r="A20" s="51">
        <v>2</v>
      </c>
      <c r="B20" s="184" t="s">
        <v>137</v>
      </c>
      <c r="C20" s="51" t="s">
        <v>1</v>
      </c>
      <c r="D20" s="51">
        <v>1</v>
      </c>
      <c r="E20" s="51">
        <v>36300</v>
      </c>
      <c r="F20" s="53">
        <v>36.3</v>
      </c>
      <c r="G20" s="51">
        <v>1</v>
      </c>
      <c r="H20" s="51">
        <v>36300</v>
      </c>
      <c r="I20" s="53">
        <v>36.3</v>
      </c>
      <c r="J20" s="53">
        <v>1</v>
      </c>
      <c r="K20" s="51">
        <v>36300</v>
      </c>
      <c r="L20" s="53">
        <v>36.3</v>
      </c>
      <c r="M20" s="53">
        <f>J20-G20</f>
        <v>0</v>
      </c>
      <c r="N20" s="51"/>
      <c r="O20" s="53">
        <f>L20-I20</f>
        <v>0</v>
      </c>
    </row>
    <row r="21" spans="1:15" s="35" customFormat="1" ht="13.5">
      <c r="A21" s="51">
        <v>3</v>
      </c>
      <c r="B21" s="262"/>
      <c r="C21" s="51" t="s">
        <v>1</v>
      </c>
      <c r="D21" s="51"/>
      <c r="E21" s="51"/>
      <c r="F21" s="53"/>
      <c r="G21" s="51"/>
      <c r="H21" s="51"/>
      <c r="I21" s="53"/>
      <c r="J21" s="53"/>
      <c r="K21" s="51"/>
      <c r="L21" s="53"/>
      <c r="M21" s="53">
        <f>J21-G21</f>
        <v>0</v>
      </c>
      <c r="N21" s="51"/>
      <c r="O21" s="53">
        <f>L21-I21</f>
        <v>0</v>
      </c>
    </row>
    <row r="22" spans="1:15" s="137" customFormat="1" ht="23.25" customHeight="1">
      <c r="A22" s="240">
        <v>3</v>
      </c>
      <c r="B22" s="260" t="s">
        <v>24</v>
      </c>
      <c r="C22" s="241">
        <v>4214</v>
      </c>
      <c r="D22" s="241"/>
      <c r="E22" s="241"/>
      <c r="F22" s="242">
        <f>SUM(F25:F27)</f>
        <v>2409.2</v>
      </c>
      <c r="G22" s="241"/>
      <c r="H22" s="241"/>
      <c r="I22" s="242">
        <f>SUM(I25:I27)</f>
        <v>3163.2</v>
      </c>
      <c r="J22" s="242"/>
      <c r="K22" s="241"/>
      <c r="L22" s="242">
        <f>SUM(L25:L27)</f>
        <v>3403</v>
      </c>
      <c r="M22" s="242">
        <f>J22-G22</f>
        <v>0</v>
      </c>
      <c r="N22" s="241"/>
      <c r="O22" s="242">
        <f>L22-I22</f>
        <v>239.80000000000018</v>
      </c>
    </row>
    <row r="23" spans="1:15" s="35" customFormat="1" ht="13.5">
      <c r="A23" s="138"/>
      <c r="B23" s="243" t="s">
        <v>76</v>
      </c>
      <c r="C23" s="51"/>
      <c r="D23" s="51"/>
      <c r="E23" s="51"/>
      <c r="F23" s="53"/>
      <c r="G23" s="51"/>
      <c r="H23" s="51"/>
      <c r="I23" s="53"/>
      <c r="J23" s="53"/>
      <c r="K23" s="51"/>
      <c r="L23" s="68"/>
      <c r="M23" s="68"/>
      <c r="N23" s="51"/>
      <c r="O23" s="68"/>
    </row>
    <row r="24" spans="1:15" s="35" customFormat="1" ht="13.5">
      <c r="A24" s="257"/>
      <c r="B24" s="261" t="s">
        <v>185</v>
      </c>
      <c r="C24" s="51"/>
      <c r="D24" s="51"/>
      <c r="E24" s="51"/>
      <c r="F24" s="53"/>
      <c r="G24" s="51"/>
      <c r="H24" s="51"/>
      <c r="I24" s="53"/>
      <c r="J24" s="53"/>
      <c r="K24" s="51"/>
      <c r="L24" s="68"/>
      <c r="M24" s="68"/>
      <c r="N24" s="51"/>
      <c r="O24" s="68"/>
    </row>
    <row r="25" spans="1:15" s="35" customFormat="1" ht="13.5">
      <c r="A25" s="51">
        <v>1</v>
      </c>
      <c r="B25" s="534" t="s">
        <v>480</v>
      </c>
      <c r="C25" s="51" t="s">
        <v>1</v>
      </c>
      <c r="D25" s="51">
        <v>1</v>
      </c>
      <c r="E25" s="51">
        <v>260000</v>
      </c>
      <c r="F25" s="53">
        <v>260</v>
      </c>
      <c r="G25" s="51">
        <v>1</v>
      </c>
      <c r="H25" s="51">
        <v>340000</v>
      </c>
      <c r="I25" s="53">
        <v>340</v>
      </c>
      <c r="J25" s="53">
        <v>1</v>
      </c>
      <c r="K25" s="51">
        <v>340000</v>
      </c>
      <c r="L25" s="53">
        <v>340</v>
      </c>
      <c r="M25" s="53">
        <f>J25-G25</f>
        <v>0</v>
      </c>
      <c r="N25" s="51"/>
      <c r="O25" s="53">
        <f>L25-I25</f>
        <v>0</v>
      </c>
    </row>
    <row r="26" spans="1:15" s="35" customFormat="1" ht="13.5">
      <c r="A26" s="51">
        <v>2</v>
      </c>
      <c r="B26" s="535" t="s">
        <v>481</v>
      </c>
      <c r="C26" s="51" t="s">
        <v>1</v>
      </c>
      <c r="D26" s="51">
        <v>1</v>
      </c>
      <c r="E26" s="51">
        <v>1728000</v>
      </c>
      <c r="F26" s="53">
        <v>1728</v>
      </c>
      <c r="G26" s="51">
        <v>1</v>
      </c>
      <c r="H26" s="51">
        <v>1728000</v>
      </c>
      <c r="I26" s="53">
        <v>1728</v>
      </c>
      <c r="J26" s="53">
        <v>1</v>
      </c>
      <c r="K26" s="51">
        <v>1728000</v>
      </c>
      <c r="L26" s="53">
        <v>1728</v>
      </c>
      <c r="M26" s="53">
        <f>J26-G26</f>
        <v>0</v>
      </c>
      <c r="N26" s="51"/>
      <c r="O26" s="53">
        <f>L26-I26</f>
        <v>0</v>
      </c>
    </row>
    <row r="27" spans="1:15" s="35" customFormat="1" ht="13.5">
      <c r="A27" s="51">
        <v>3</v>
      </c>
      <c r="B27" s="535" t="s">
        <v>482</v>
      </c>
      <c r="C27" s="51" t="s">
        <v>1</v>
      </c>
      <c r="D27" s="51">
        <v>1</v>
      </c>
      <c r="E27" s="51">
        <v>421200</v>
      </c>
      <c r="F27" s="53">
        <v>421.2</v>
      </c>
      <c r="G27" s="51">
        <v>1</v>
      </c>
      <c r="H27" s="51">
        <v>1095200</v>
      </c>
      <c r="I27" s="53">
        <v>1095.2</v>
      </c>
      <c r="J27" s="53">
        <v>1</v>
      </c>
      <c r="K27" s="51">
        <v>1095200</v>
      </c>
      <c r="L27" s="53">
        <v>1335</v>
      </c>
      <c r="M27" s="53">
        <f>J27-G27</f>
        <v>0</v>
      </c>
      <c r="N27" s="51"/>
      <c r="O27" s="53">
        <f>L27-I27</f>
        <v>239.79999999999995</v>
      </c>
    </row>
    <row r="28" spans="1:15" s="137" customFormat="1" ht="23.25" customHeight="1">
      <c r="A28" s="240" t="s">
        <v>148</v>
      </c>
      <c r="B28" s="260" t="s">
        <v>25</v>
      </c>
      <c r="C28" s="241">
        <v>4215</v>
      </c>
      <c r="D28" s="241"/>
      <c r="E28" s="241"/>
      <c r="F28" s="242">
        <f>SUM(F31:F33)</f>
        <v>142</v>
      </c>
      <c r="G28" s="241"/>
      <c r="H28" s="241"/>
      <c r="I28" s="242">
        <f>SUM(I31:I33)</f>
        <v>160</v>
      </c>
      <c r="J28" s="242"/>
      <c r="K28" s="241"/>
      <c r="L28" s="242">
        <f>SUM(L31:L33)</f>
        <v>160</v>
      </c>
      <c r="M28" s="242">
        <f>J28-G28</f>
        <v>0</v>
      </c>
      <c r="N28" s="241"/>
      <c r="O28" s="242">
        <f>L28-I28</f>
        <v>0</v>
      </c>
    </row>
    <row r="29" spans="1:15" s="35" customFormat="1" ht="13.5">
      <c r="A29" s="138"/>
      <c r="B29" s="243" t="s">
        <v>76</v>
      </c>
      <c r="C29" s="51"/>
      <c r="D29" s="51"/>
      <c r="E29" s="51"/>
      <c r="F29" s="53"/>
      <c r="G29" s="51"/>
      <c r="H29" s="51"/>
      <c r="I29" s="53"/>
      <c r="J29" s="53"/>
      <c r="K29" s="51"/>
      <c r="L29" s="68"/>
      <c r="M29" s="68"/>
      <c r="N29" s="51"/>
      <c r="O29" s="68"/>
    </row>
    <row r="30" spans="1:15" s="35" customFormat="1" ht="13.5">
      <c r="A30" s="257"/>
      <c r="B30" s="261" t="s">
        <v>185</v>
      </c>
      <c r="C30" s="51"/>
      <c r="D30" s="51"/>
      <c r="E30" s="51"/>
      <c r="F30" s="53"/>
      <c r="G30" s="51"/>
      <c r="H30" s="51"/>
      <c r="I30" s="53"/>
      <c r="J30" s="53"/>
      <c r="K30" s="51"/>
      <c r="L30" s="68"/>
      <c r="M30" s="68"/>
      <c r="N30" s="51"/>
      <c r="O30" s="68"/>
    </row>
    <row r="31" spans="1:15" s="35" customFormat="1" ht="13.5">
      <c r="A31" s="51">
        <v>1</v>
      </c>
      <c r="B31" s="535" t="s">
        <v>483</v>
      </c>
      <c r="C31" s="51" t="s">
        <v>1</v>
      </c>
      <c r="D31" s="51">
        <v>1</v>
      </c>
      <c r="E31" s="51">
        <v>142500</v>
      </c>
      <c r="F31" s="53">
        <v>142</v>
      </c>
      <c r="G31" s="51">
        <v>1</v>
      </c>
      <c r="H31" s="51">
        <v>160000</v>
      </c>
      <c r="I31" s="53">
        <v>160</v>
      </c>
      <c r="J31" s="53">
        <v>1</v>
      </c>
      <c r="K31" s="51">
        <v>160000</v>
      </c>
      <c r="L31" s="53">
        <v>160</v>
      </c>
      <c r="M31" s="53">
        <f>J31-G31</f>
        <v>0</v>
      </c>
      <c r="N31" s="51"/>
      <c r="O31" s="53">
        <f>L31-I31</f>
        <v>0</v>
      </c>
    </row>
    <row r="32" spans="1:15" s="35" customFormat="1" ht="13.5">
      <c r="A32" s="51">
        <v>2</v>
      </c>
      <c r="B32" s="262"/>
      <c r="C32" s="51" t="s">
        <v>1</v>
      </c>
      <c r="D32" s="51"/>
      <c r="E32" s="51"/>
      <c r="F32" s="53"/>
      <c r="G32" s="51"/>
      <c r="H32" s="51"/>
      <c r="I32" s="53"/>
      <c r="J32" s="53"/>
      <c r="K32" s="51"/>
      <c r="L32" s="53"/>
      <c r="M32" s="53">
        <f>J32-G32</f>
        <v>0</v>
      </c>
      <c r="N32" s="51"/>
      <c r="O32" s="53">
        <f>L32-I32</f>
        <v>0</v>
      </c>
    </row>
    <row r="33" spans="1:15" s="35" customFormat="1" ht="13.5">
      <c r="A33" s="51">
        <v>3</v>
      </c>
      <c r="B33" s="262"/>
      <c r="C33" s="51" t="s">
        <v>1</v>
      </c>
      <c r="D33" s="51"/>
      <c r="E33" s="51"/>
      <c r="F33" s="53"/>
      <c r="G33" s="51"/>
      <c r="H33" s="51"/>
      <c r="I33" s="53"/>
      <c r="J33" s="53"/>
      <c r="K33" s="51"/>
      <c r="L33" s="53"/>
      <c r="M33" s="53">
        <f>J33-G33</f>
        <v>0</v>
      </c>
      <c r="N33" s="51"/>
      <c r="O33" s="53">
        <f>L33-I33</f>
        <v>0</v>
      </c>
    </row>
    <row r="34" spans="1:15" s="137" customFormat="1" ht="23.25" customHeight="1">
      <c r="A34" s="240" t="s">
        <v>148</v>
      </c>
      <c r="B34" s="260" t="s">
        <v>26</v>
      </c>
      <c r="C34" s="241">
        <v>4216</v>
      </c>
      <c r="D34" s="241"/>
      <c r="E34" s="241"/>
      <c r="F34" s="242">
        <f>SUM(F37:F39)</f>
        <v>12233.3</v>
      </c>
      <c r="G34" s="241"/>
      <c r="H34" s="241"/>
      <c r="I34" s="242">
        <f>SUM(I37:I39)</f>
        <v>12233.3</v>
      </c>
      <c r="J34" s="242"/>
      <c r="K34" s="241"/>
      <c r="L34" s="242">
        <f>SUM(L37:L39)</f>
        <v>12233.3</v>
      </c>
      <c r="M34" s="242">
        <f>J34-G34</f>
        <v>0</v>
      </c>
      <c r="N34" s="241"/>
      <c r="O34" s="242">
        <f>L34-I34</f>
        <v>0</v>
      </c>
    </row>
    <row r="35" spans="1:15" s="35" customFormat="1" ht="13.5">
      <c r="A35" s="138"/>
      <c r="B35" s="243" t="s">
        <v>76</v>
      </c>
      <c r="C35" s="51"/>
      <c r="D35" s="51"/>
      <c r="E35" s="51"/>
      <c r="F35" s="53"/>
      <c r="G35" s="51"/>
      <c r="H35" s="51"/>
      <c r="I35" s="53"/>
      <c r="J35" s="53"/>
      <c r="K35" s="51"/>
      <c r="L35" s="68"/>
      <c r="M35" s="68"/>
      <c r="N35" s="51"/>
      <c r="O35" s="68"/>
    </row>
    <row r="36" spans="1:15" s="35" customFormat="1" ht="13.5">
      <c r="A36" s="257"/>
      <c r="B36" s="261" t="s">
        <v>185</v>
      </c>
      <c r="C36" s="51"/>
      <c r="D36" s="51"/>
      <c r="E36" s="51"/>
      <c r="F36" s="53"/>
      <c r="G36" s="51"/>
      <c r="H36" s="51"/>
      <c r="I36" s="53"/>
      <c r="J36" s="53"/>
      <c r="K36" s="51"/>
      <c r="L36" s="68"/>
      <c r="M36" s="68"/>
      <c r="N36" s="51"/>
      <c r="O36" s="68"/>
    </row>
    <row r="37" spans="1:15" s="35" customFormat="1" ht="13.5">
      <c r="A37" s="51">
        <v>1</v>
      </c>
      <c r="B37" s="536" t="s">
        <v>26</v>
      </c>
      <c r="C37" s="51" t="s">
        <v>1</v>
      </c>
      <c r="D37" s="51">
        <v>1</v>
      </c>
      <c r="E37" s="51">
        <v>12233300</v>
      </c>
      <c r="F37" s="53">
        <v>12233.3</v>
      </c>
      <c r="G37" s="51">
        <v>1</v>
      </c>
      <c r="H37" s="51">
        <v>12233300</v>
      </c>
      <c r="I37" s="53">
        <v>12233.3</v>
      </c>
      <c r="J37" s="53">
        <v>1</v>
      </c>
      <c r="K37" s="51">
        <v>12233300</v>
      </c>
      <c r="L37" s="53">
        <v>12233.3</v>
      </c>
      <c r="M37" s="53">
        <f>J37-G37</f>
        <v>0</v>
      </c>
      <c r="N37" s="51"/>
      <c r="O37" s="53">
        <f>L37-I37</f>
        <v>0</v>
      </c>
    </row>
    <row r="38" spans="1:15" s="35" customFormat="1" ht="13.5">
      <c r="A38" s="51">
        <v>2</v>
      </c>
      <c r="B38" s="262"/>
      <c r="C38" s="51" t="s">
        <v>1</v>
      </c>
      <c r="D38" s="51"/>
      <c r="E38" s="51"/>
      <c r="F38" s="53"/>
      <c r="G38" s="51"/>
      <c r="H38" s="51"/>
      <c r="I38" s="53"/>
      <c r="J38" s="53"/>
      <c r="K38" s="51"/>
      <c r="L38" s="53"/>
      <c r="M38" s="53">
        <f>J38-G38</f>
        <v>0</v>
      </c>
      <c r="N38" s="51"/>
      <c r="O38" s="53">
        <f>L38-I38</f>
        <v>0</v>
      </c>
    </row>
    <row r="39" spans="1:15" s="35" customFormat="1" ht="13.5">
      <c r="A39" s="51">
        <v>3</v>
      </c>
      <c r="B39" s="262"/>
      <c r="C39" s="51" t="s">
        <v>1</v>
      </c>
      <c r="D39" s="51"/>
      <c r="E39" s="51"/>
      <c r="F39" s="53"/>
      <c r="G39" s="51"/>
      <c r="H39" s="51"/>
      <c r="I39" s="53"/>
      <c r="J39" s="53"/>
      <c r="K39" s="51"/>
      <c r="L39" s="53"/>
      <c r="M39" s="53">
        <f>J39-G39</f>
        <v>0</v>
      </c>
      <c r="N39" s="51"/>
      <c r="O39" s="53">
        <f>L39-I39</f>
        <v>0</v>
      </c>
    </row>
    <row r="40" spans="1:15" s="137" customFormat="1" ht="23.25" customHeight="1">
      <c r="A40" s="240" t="s">
        <v>148</v>
      </c>
      <c r="B40" s="260" t="s">
        <v>31</v>
      </c>
      <c r="C40" s="241">
        <v>4232</v>
      </c>
      <c r="D40" s="241"/>
      <c r="E40" s="241"/>
      <c r="F40" s="242">
        <f>SUM(F43:F47)</f>
        <v>3671</v>
      </c>
      <c r="G40" s="241"/>
      <c r="H40" s="241"/>
      <c r="I40" s="242">
        <f>SUM(I43:I47)</f>
        <v>3060</v>
      </c>
      <c r="J40" s="242"/>
      <c r="K40" s="241"/>
      <c r="L40" s="242">
        <f>SUM(L43:L47)</f>
        <v>3736</v>
      </c>
      <c r="M40" s="242">
        <f>J40-G40</f>
        <v>0</v>
      </c>
      <c r="N40" s="241"/>
      <c r="O40" s="242">
        <f>L40-I40</f>
        <v>676</v>
      </c>
    </row>
    <row r="41" spans="1:15" s="35" customFormat="1" ht="13.5">
      <c r="A41" s="138"/>
      <c r="B41" s="243" t="s">
        <v>76</v>
      </c>
      <c r="C41" s="51"/>
      <c r="D41" s="51"/>
      <c r="E41" s="51"/>
      <c r="F41" s="53"/>
      <c r="G41" s="51"/>
      <c r="H41" s="51"/>
      <c r="I41" s="53"/>
      <c r="J41" s="53"/>
      <c r="K41" s="51"/>
      <c r="L41" s="68"/>
      <c r="M41" s="68"/>
      <c r="N41" s="51"/>
      <c r="O41" s="68"/>
    </row>
    <row r="42" spans="1:15" s="35" customFormat="1" ht="13.5">
      <c r="A42" s="257"/>
      <c r="B42" s="261" t="s">
        <v>185</v>
      </c>
      <c r="C42" s="51"/>
      <c r="D42" s="51"/>
      <c r="E42" s="51"/>
      <c r="F42" s="53"/>
      <c r="G42" s="51"/>
      <c r="H42" s="51"/>
      <c r="I42" s="53"/>
      <c r="J42" s="53"/>
      <c r="K42" s="51"/>
      <c r="L42" s="68"/>
      <c r="M42" s="68"/>
      <c r="N42" s="51"/>
      <c r="O42" s="68"/>
    </row>
    <row r="43" spans="1:15" s="35" customFormat="1" ht="27">
      <c r="A43" s="51">
        <v>1</v>
      </c>
      <c r="B43" s="537" t="s">
        <v>484</v>
      </c>
      <c r="C43" s="51" t="s">
        <v>1</v>
      </c>
      <c r="D43" s="51"/>
      <c r="E43" s="51"/>
      <c r="F43" s="538"/>
      <c r="G43" s="51"/>
      <c r="H43" s="51"/>
      <c r="I43" s="53"/>
      <c r="J43" s="53"/>
      <c r="K43" s="51"/>
      <c r="L43" s="53"/>
      <c r="M43" s="53">
        <f>J43-G43</f>
        <v>0</v>
      </c>
      <c r="N43" s="51"/>
      <c r="O43" s="53">
        <f>L43-I43</f>
        <v>0</v>
      </c>
    </row>
    <row r="44" spans="1:15" s="35" customFormat="1" ht="27">
      <c r="A44" s="51">
        <v>2</v>
      </c>
      <c r="B44" s="537" t="s">
        <v>488</v>
      </c>
      <c r="C44" s="51" t="s">
        <v>1</v>
      </c>
      <c r="D44" s="51">
        <v>1</v>
      </c>
      <c r="E44" s="51">
        <v>500000</v>
      </c>
      <c r="F44" s="538">
        <v>500</v>
      </c>
      <c r="G44" s="51"/>
      <c r="H44" s="51"/>
      <c r="I44" s="53"/>
      <c r="J44" s="53">
        <v>1</v>
      </c>
      <c r="K44" s="51">
        <v>500000</v>
      </c>
      <c r="L44" s="53">
        <v>500</v>
      </c>
      <c r="M44" s="53"/>
      <c r="N44" s="51"/>
      <c r="O44" s="53"/>
    </row>
    <row r="45" spans="1:15" s="35" customFormat="1" ht="13.5">
      <c r="A45" s="51">
        <v>3</v>
      </c>
      <c r="B45" s="537" t="s">
        <v>485</v>
      </c>
      <c r="C45" s="51" t="s">
        <v>1</v>
      </c>
      <c r="D45" s="51">
        <v>1</v>
      </c>
      <c r="E45" s="51">
        <v>72000</v>
      </c>
      <c r="F45" s="538">
        <v>72</v>
      </c>
      <c r="G45" s="51">
        <v>1</v>
      </c>
      <c r="H45" s="51">
        <v>100000</v>
      </c>
      <c r="I45" s="53">
        <v>100</v>
      </c>
      <c r="J45" s="53">
        <v>1</v>
      </c>
      <c r="K45" s="51">
        <v>100000</v>
      </c>
      <c r="L45" s="53">
        <v>100</v>
      </c>
      <c r="M45" s="53"/>
      <c r="N45" s="51"/>
      <c r="O45" s="53"/>
    </row>
    <row r="46" spans="1:15" s="35" customFormat="1" ht="13.5">
      <c r="A46" s="51">
        <v>4</v>
      </c>
      <c r="B46" s="537" t="s">
        <v>486</v>
      </c>
      <c r="C46" s="51" t="s">
        <v>1</v>
      </c>
      <c r="D46" s="51">
        <v>1</v>
      </c>
      <c r="E46" s="51">
        <v>2880000</v>
      </c>
      <c r="F46" s="538">
        <v>2880</v>
      </c>
      <c r="G46" s="51">
        <v>1</v>
      </c>
      <c r="H46" s="51">
        <v>2880000</v>
      </c>
      <c r="I46" s="53">
        <v>2880</v>
      </c>
      <c r="J46" s="53">
        <v>1</v>
      </c>
      <c r="K46" s="51">
        <v>2880000</v>
      </c>
      <c r="L46" s="53">
        <v>2880</v>
      </c>
      <c r="M46" s="53">
        <f>J46-G46</f>
        <v>0</v>
      </c>
      <c r="N46" s="51"/>
      <c r="O46" s="53">
        <f>L46-I46</f>
        <v>0</v>
      </c>
    </row>
    <row r="47" spans="1:15" s="35" customFormat="1" ht="13.5">
      <c r="A47" s="51">
        <v>5</v>
      </c>
      <c r="B47" s="537" t="s">
        <v>487</v>
      </c>
      <c r="C47" s="51" t="s">
        <v>1</v>
      </c>
      <c r="D47" s="51">
        <v>1</v>
      </c>
      <c r="E47" s="51">
        <v>219000</v>
      </c>
      <c r="F47" s="538">
        <v>219</v>
      </c>
      <c r="G47" s="51">
        <v>1</v>
      </c>
      <c r="H47" s="51">
        <v>80000</v>
      </c>
      <c r="I47" s="53">
        <v>80</v>
      </c>
      <c r="J47" s="53">
        <v>1</v>
      </c>
      <c r="K47" s="51">
        <v>256000</v>
      </c>
      <c r="L47" s="53">
        <v>256</v>
      </c>
      <c r="M47" s="53">
        <f>J47-G47</f>
        <v>0</v>
      </c>
      <c r="N47" s="51"/>
      <c r="O47" s="53">
        <f>L47-I47</f>
        <v>176</v>
      </c>
    </row>
    <row r="48" spans="1:15" s="137" customFormat="1" ht="23.25" customHeight="1">
      <c r="A48" s="240" t="s">
        <v>148</v>
      </c>
      <c r="B48" s="260" t="s">
        <v>489</v>
      </c>
      <c r="C48" s="241">
        <v>4233</v>
      </c>
      <c r="D48" s="241"/>
      <c r="E48" s="241"/>
      <c r="F48" s="242">
        <f>SUM(F51:F53)</f>
        <v>187</v>
      </c>
      <c r="G48" s="241"/>
      <c r="H48" s="241"/>
      <c r="I48" s="242">
        <f>SUM(I51:I53)</f>
        <v>258.8</v>
      </c>
      <c r="J48" s="242"/>
      <c r="K48" s="241"/>
      <c r="L48" s="242">
        <f>SUM(L51:L53)</f>
        <v>258.8</v>
      </c>
      <c r="M48" s="242">
        <f>J48-G48</f>
        <v>0</v>
      </c>
      <c r="N48" s="241"/>
      <c r="O48" s="242">
        <f>L48-I48</f>
        <v>0</v>
      </c>
    </row>
    <row r="49" spans="1:15" s="35" customFormat="1" ht="13.5">
      <c r="A49" s="138"/>
      <c r="B49" s="243" t="s">
        <v>76</v>
      </c>
      <c r="C49" s="51"/>
      <c r="D49" s="51"/>
      <c r="E49" s="51"/>
      <c r="F49" s="53"/>
      <c r="G49" s="51"/>
      <c r="H49" s="51"/>
      <c r="I49" s="53"/>
      <c r="J49" s="53"/>
      <c r="K49" s="51"/>
      <c r="L49" s="68"/>
      <c r="M49" s="68"/>
      <c r="N49" s="51"/>
      <c r="O49" s="68"/>
    </row>
    <row r="50" spans="1:15" s="35" customFormat="1" ht="13.5">
      <c r="A50" s="257"/>
      <c r="B50" s="261" t="s">
        <v>185</v>
      </c>
      <c r="C50" s="51"/>
      <c r="D50" s="51"/>
      <c r="E50" s="51"/>
      <c r="F50" s="53"/>
      <c r="G50" s="51"/>
      <c r="H50" s="51"/>
      <c r="I50" s="53"/>
      <c r="J50" s="53"/>
      <c r="K50" s="51"/>
      <c r="L50" s="68"/>
      <c r="M50" s="68"/>
      <c r="N50" s="51"/>
      <c r="O50" s="68"/>
    </row>
    <row r="51" spans="1:15" s="35" customFormat="1" ht="13.5">
      <c r="A51" s="51">
        <v>1</v>
      </c>
      <c r="B51" s="537" t="s">
        <v>490</v>
      </c>
      <c r="C51" s="51" t="s">
        <v>1</v>
      </c>
      <c r="D51" s="51">
        <v>1</v>
      </c>
      <c r="E51" s="51">
        <v>187000</v>
      </c>
      <c r="F51" s="53">
        <v>187</v>
      </c>
      <c r="G51" s="51">
        <v>1</v>
      </c>
      <c r="H51" s="51">
        <v>258800</v>
      </c>
      <c r="I51" s="53">
        <v>258.8</v>
      </c>
      <c r="J51" s="53">
        <v>1</v>
      </c>
      <c r="K51" s="51">
        <v>258800</v>
      </c>
      <c r="L51" s="53">
        <v>258.8</v>
      </c>
      <c r="M51" s="53">
        <f>J51-G51</f>
        <v>0</v>
      </c>
      <c r="N51" s="51"/>
      <c r="O51" s="53">
        <f>L51-I51</f>
        <v>0</v>
      </c>
    </row>
    <row r="52" spans="1:15" s="35" customFormat="1" ht="13.5">
      <c r="A52" s="51">
        <v>2</v>
      </c>
      <c r="B52" s="262"/>
      <c r="C52" s="51" t="s">
        <v>1</v>
      </c>
      <c r="D52" s="51"/>
      <c r="E52" s="51"/>
      <c r="F52" s="53"/>
      <c r="G52" s="51"/>
      <c r="H52" s="51"/>
      <c r="I52" s="53"/>
      <c r="J52" s="53"/>
      <c r="K52" s="51"/>
      <c r="L52" s="53"/>
      <c r="M52" s="53">
        <f>J52-G52</f>
        <v>0</v>
      </c>
      <c r="N52" s="51"/>
      <c r="O52" s="53">
        <f>L52-I52</f>
        <v>0</v>
      </c>
    </row>
    <row r="53" spans="1:15" s="35" customFormat="1" ht="13.5">
      <c r="A53" s="51">
        <v>3</v>
      </c>
      <c r="B53" s="262"/>
      <c r="C53" s="51" t="s">
        <v>1</v>
      </c>
      <c r="D53" s="51"/>
      <c r="E53" s="51"/>
      <c r="F53" s="53"/>
      <c r="G53" s="51"/>
      <c r="H53" s="51"/>
      <c r="I53" s="53"/>
      <c r="J53" s="53"/>
      <c r="K53" s="51"/>
      <c r="L53" s="53"/>
      <c r="M53" s="53">
        <f>J53-G53</f>
        <v>0</v>
      </c>
      <c r="N53" s="51"/>
      <c r="O53" s="53">
        <f>L53-I53</f>
        <v>0</v>
      </c>
    </row>
    <row r="54" spans="1:15" s="137" customFormat="1" ht="23.25" customHeight="1">
      <c r="A54" s="240" t="s">
        <v>148</v>
      </c>
      <c r="B54" s="260" t="s">
        <v>32</v>
      </c>
      <c r="C54" s="241">
        <v>4234</v>
      </c>
      <c r="D54" s="241"/>
      <c r="E54" s="241"/>
      <c r="F54" s="242">
        <f>SUM(F57:F59)</f>
        <v>328</v>
      </c>
      <c r="G54" s="241"/>
      <c r="H54" s="241"/>
      <c r="I54" s="242">
        <f>SUM(I57:I59)</f>
        <v>160</v>
      </c>
      <c r="J54" s="242"/>
      <c r="K54" s="241"/>
      <c r="L54" s="242">
        <f>SUM(L57:L59)</f>
        <v>160</v>
      </c>
      <c r="M54" s="242">
        <f>J54-G54</f>
        <v>0</v>
      </c>
      <c r="N54" s="241"/>
      <c r="O54" s="242">
        <f>L54-I54</f>
        <v>0</v>
      </c>
    </row>
    <row r="55" spans="1:15" s="35" customFormat="1" ht="13.5">
      <c r="A55" s="138"/>
      <c r="B55" s="243" t="s">
        <v>76</v>
      </c>
      <c r="C55" s="51"/>
      <c r="D55" s="51"/>
      <c r="E55" s="51"/>
      <c r="F55" s="53"/>
      <c r="G55" s="51"/>
      <c r="H55" s="51"/>
      <c r="I55" s="53"/>
      <c r="J55" s="53"/>
      <c r="K55" s="51"/>
      <c r="L55" s="68"/>
      <c r="M55" s="68"/>
      <c r="N55" s="51"/>
      <c r="O55" s="68"/>
    </row>
    <row r="56" spans="1:15" s="35" customFormat="1" ht="13.5">
      <c r="A56" s="257"/>
      <c r="B56" s="261" t="s">
        <v>185</v>
      </c>
      <c r="C56" s="51"/>
      <c r="D56" s="51"/>
      <c r="E56" s="51"/>
      <c r="F56" s="53"/>
      <c r="G56" s="51"/>
      <c r="H56" s="51"/>
      <c r="I56" s="53"/>
      <c r="J56" s="53"/>
      <c r="K56" s="51"/>
      <c r="L56" s="68"/>
      <c r="M56" s="68"/>
      <c r="N56" s="51"/>
      <c r="O56" s="68"/>
    </row>
    <row r="57" spans="1:15" s="35" customFormat="1" ht="27">
      <c r="A57" s="51">
        <v>1</v>
      </c>
      <c r="B57" s="537" t="s">
        <v>491</v>
      </c>
      <c r="C57" s="51" t="s">
        <v>1</v>
      </c>
      <c r="D57" s="51">
        <v>1</v>
      </c>
      <c r="E57" s="51">
        <v>328000</v>
      </c>
      <c r="F57" s="53">
        <v>328</v>
      </c>
      <c r="G57" s="51">
        <v>1</v>
      </c>
      <c r="H57" s="51">
        <v>160000</v>
      </c>
      <c r="I57" s="53">
        <v>160</v>
      </c>
      <c r="J57" s="53">
        <v>1</v>
      </c>
      <c r="K57" s="51">
        <v>160000</v>
      </c>
      <c r="L57" s="53">
        <v>160</v>
      </c>
      <c r="M57" s="53">
        <f>J57-G57</f>
        <v>0</v>
      </c>
      <c r="N57" s="51"/>
      <c r="O57" s="53">
        <f>L57-I57</f>
        <v>0</v>
      </c>
    </row>
    <row r="58" spans="1:15" s="35" customFormat="1" ht="13.5">
      <c r="A58" s="51">
        <v>2</v>
      </c>
      <c r="B58" s="262"/>
      <c r="C58" s="51" t="s">
        <v>1</v>
      </c>
      <c r="D58" s="51"/>
      <c r="E58" s="51"/>
      <c r="F58" s="53"/>
      <c r="G58" s="51"/>
      <c r="H58" s="51"/>
      <c r="I58" s="53"/>
      <c r="J58" s="53"/>
      <c r="K58" s="51"/>
      <c r="L58" s="53"/>
      <c r="M58" s="53">
        <f>J58-G58</f>
        <v>0</v>
      </c>
      <c r="N58" s="51"/>
      <c r="O58" s="53">
        <f>L58-I58</f>
        <v>0</v>
      </c>
    </row>
    <row r="59" spans="1:15" s="35" customFormat="1" ht="13.5">
      <c r="A59" s="51">
        <v>3</v>
      </c>
      <c r="B59" s="262"/>
      <c r="C59" s="51" t="s">
        <v>1</v>
      </c>
      <c r="D59" s="51"/>
      <c r="E59" s="51"/>
      <c r="F59" s="53"/>
      <c r="G59" s="51"/>
      <c r="H59" s="51"/>
      <c r="I59" s="53"/>
      <c r="J59" s="53"/>
      <c r="K59" s="51"/>
      <c r="L59" s="53"/>
      <c r="M59" s="53">
        <f>J59-G59</f>
        <v>0</v>
      </c>
      <c r="N59" s="51"/>
      <c r="O59" s="53">
        <f>L59-I59</f>
        <v>0</v>
      </c>
    </row>
    <row r="60" spans="1:15" s="137" customFormat="1" ht="23.25" customHeight="1">
      <c r="A60" s="240" t="s">
        <v>148</v>
      </c>
      <c r="B60" s="260" t="s">
        <v>33</v>
      </c>
      <c r="C60" s="241">
        <v>4235</v>
      </c>
      <c r="D60" s="241"/>
      <c r="E60" s="241"/>
      <c r="F60" s="242">
        <f>F63</f>
        <v>4080</v>
      </c>
      <c r="G60" s="241"/>
      <c r="H60" s="241"/>
      <c r="I60" s="242">
        <f>I63</f>
        <v>10050</v>
      </c>
      <c r="J60" s="242"/>
      <c r="K60" s="242"/>
      <c r="L60" s="242">
        <f>L63</f>
        <v>10050</v>
      </c>
      <c r="M60" s="242">
        <f>J60-G60</f>
        <v>0</v>
      </c>
      <c r="N60" s="241"/>
      <c r="O60" s="242">
        <f>L60-I60</f>
        <v>0</v>
      </c>
    </row>
    <row r="61" spans="1:15" s="35" customFormat="1" ht="13.5">
      <c r="A61" s="138"/>
      <c r="B61" s="243" t="s">
        <v>76</v>
      </c>
      <c r="C61" s="51"/>
      <c r="D61" s="51"/>
      <c r="E61" s="51"/>
      <c r="F61" s="53"/>
      <c r="G61" s="51"/>
      <c r="H61" s="51"/>
      <c r="I61" s="53"/>
      <c r="J61" s="53"/>
      <c r="K61" s="51"/>
      <c r="L61" s="68"/>
      <c r="M61" s="68"/>
      <c r="N61" s="51"/>
      <c r="O61" s="68"/>
    </row>
    <row r="62" spans="1:15" s="35" customFormat="1" ht="13.5" hidden="1">
      <c r="A62" s="257"/>
      <c r="B62" s="261"/>
      <c r="C62" s="51"/>
      <c r="D62" s="51"/>
      <c r="E62" s="51"/>
      <c r="F62" s="53"/>
      <c r="G62" s="51"/>
      <c r="H62" s="51"/>
      <c r="I62" s="53"/>
      <c r="J62" s="53"/>
      <c r="K62" s="51"/>
      <c r="L62" s="68"/>
      <c r="M62" s="68"/>
      <c r="N62" s="51"/>
      <c r="O62" s="68"/>
    </row>
    <row r="63" spans="1:15" s="35" customFormat="1" ht="13.5">
      <c r="A63" s="51">
        <v>1</v>
      </c>
      <c r="B63" s="537" t="s">
        <v>492</v>
      </c>
      <c r="C63" s="51"/>
      <c r="D63" s="51">
        <v>1</v>
      </c>
      <c r="E63" s="51">
        <v>4080000</v>
      </c>
      <c r="F63" s="53">
        <v>4080</v>
      </c>
      <c r="G63" s="51">
        <v>1</v>
      </c>
      <c r="H63" s="51">
        <v>10050000</v>
      </c>
      <c r="I63" s="53">
        <v>10050</v>
      </c>
      <c r="J63" s="53">
        <v>1</v>
      </c>
      <c r="K63" s="51">
        <v>10050000</v>
      </c>
      <c r="L63" s="53">
        <v>10050</v>
      </c>
      <c r="M63" s="53">
        <f>J63-G63</f>
        <v>0</v>
      </c>
      <c r="N63" s="51"/>
      <c r="O63" s="53">
        <f>L63-I63</f>
        <v>0</v>
      </c>
    </row>
    <row r="64" spans="1:15" s="35" customFormat="1" ht="13.5">
      <c r="A64" s="51">
        <v>2</v>
      </c>
      <c r="B64" s="262"/>
      <c r="C64" s="51" t="s">
        <v>1</v>
      </c>
      <c r="D64" s="51"/>
      <c r="E64" s="51"/>
      <c r="F64" s="53"/>
      <c r="G64" s="51"/>
      <c r="H64" s="51"/>
      <c r="I64" s="53"/>
      <c r="J64" s="53"/>
      <c r="K64" s="51"/>
      <c r="L64" s="53"/>
      <c r="M64" s="53">
        <f>J64-G64</f>
        <v>0</v>
      </c>
      <c r="N64" s="51"/>
      <c r="O64" s="53">
        <f>L64-I64</f>
        <v>0</v>
      </c>
    </row>
    <row r="65" spans="1:15" s="35" customFormat="1" ht="14.25">
      <c r="A65" s="240" t="s">
        <v>148</v>
      </c>
      <c r="B65" s="260" t="s">
        <v>493</v>
      </c>
      <c r="C65" s="241">
        <v>4237</v>
      </c>
      <c r="D65" s="241"/>
      <c r="E65" s="242"/>
      <c r="F65" s="242">
        <f>SUM(F68:F70)</f>
        <v>300</v>
      </c>
      <c r="G65" s="242"/>
      <c r="H65" s="242"/>
      <c r="I65" s="242">
        <f>I68</f>
        <v>300</v>
      </c>
      <c r="J65" s="242"/>
      <c r="K65" s="242"/>
      <c r="L65" s="242">
        <f>L68</f>
        <v>300</v>
      </c>
      <c r="M65" s="53"/>
      <c r="N65" s="51"/>
      <c r="O65" s="53"/>
    </row>
    <row r="66" spans="1:15" ht="14.25">
      <c r="A66" s="138"/>
      <c r="B66" s="243" t="s">
        <v>76</v>
      </c>
      <c r="C66" s="51"/>
      <c r="D66" s="51"/>
      <c r="E66" s="53"/>
      <c r="F66" s="53"/>
      <c r="G66" s="68"/>
      <c r="H66" s="68"/>
      <c r="I66" s="68"/>
      <c r="J66" s="68"/>
      <c r="K66" s="51"/>
      <c r="L66" s="68"/>
      <c r="M66" s="242">
        <f>J66-G66</f>
        <v>0</v>
      </c>
      <c r="N66" s="241"/>
      <c r="O66" s="242">
        <f>L66-I66</f>
        <v>0</v>
      </c>
    </row>
    <row r="67" spans="1:15" ht="13.5">
      <c r="A67" s="257"/>
      <c r="B67" s="261" t="s">
        <v>185</v>
      </c>
      <c r="C67" s="51"/>
      <c r="D67" s="51"/>
      <c r="E67" s="53"/>
      <c r="F67" s="53"/>
      <c r="G67" s="68"/>
      <c r="H67" s="68"/>
      <c r="I67" s="68"/>
      <c r="J67" s="68"/>
      <c r="K67" s="51"/>
      <c r="L67" s="68"/>
      <c r="M67" s="68"/>
      <c r="N67" s="51"/>
      <c r="O67" s="68"/>
    </row>
    <row r="68" spans="1:15" ht="26.25" customHeight="1">
      <c r="A68" s="51">
        <v>1</v>
      </c>
      <c r="B68" s="262" t="s">
        <v>494</v>
      </c>
      <c r="C68" s="51" t="s">
        <v>1</v>
      </c>
      <c r="D68" s="51">
        <v>1</v>
      </c>
      <c r="E68" s="53">
        <v>300000</v>
      </c>
      <c r="F68" s="53">
        <v>300</v>
      </c>
      <c r="G68" s="53">
        <v>1</v>
      </c>
      <c r="H68" s="53">
        <v>300000</v>
      </c>
      <c r="I68" s="53">
        <v>300</v>
      </c>
      <c r="J68" s="53">
        <v>1</v>
      </c>
      <c r="K68" s="51">
        <v>300000</v>
      </c>
      <c r="L68" s="53">
        <v>300</v>
      </c>
      <c r="M68" s="68"/>
      <c r="N68" s="51"/>
      <c r="O68" s="68"/>
    </row>
    <row r="69" spans="1:15" ht="13.5">
      <c r="A69" s="51">
        <v>2</v>
      </c>
      <c r="B69" s="262"/>
      <c r="C69" s="51" t="s">
        <v>1</v>
      </c>
      <c r="D69" s="51"/>
      <c r="E69" s="53"/>
      <c r="F69" s="53"/>
      <c r="G69" s="53"/>
      <c r="H69" s="53">
        <f>F69-D69</f>
        <v>0</v>
      </c>
      <c r="I69" s="53">
        <f>G69-E69</f>
        <v>0</v>
      </c>
      <c r="J69" s="53">
        <f>G69-D69</f>
        <v>0</v>
      </c>
      <c r="K69" s="51"/>
      <c r="L69" s="53"/>
      <c r="M69" s="53">
        <f>J69-G69</f>
        <v>0</v>
      </c>
      <c r="N69" s="51"/>
      <c r="O69" s="53">
        <f>L69-I69</f>
        <v>0</v>
      </c>
    </row>
    <row r="70" spans="1:15" ht="13.5">
      <c r="A70" s="51">
        <v>3</v>
      </c>
      <c r="B70" s="262"/>
      <c r="C70" s="51" t="s">
        <v>1</v>
      </c>
      <c r="D70" s="51"/>
      <c r="E70" s="53"/>
      <c r="F70" s="53"/>
      <c r="G70" s="53"/>
      <c r="H70" s="53">
        <f>F70-D70</f>
        <v>0</v>
      </c>
      <c r="I70" s="53">
        <f>G70-E70</f>
        <v>0</v>
      </c>
      <c r="J70" s="53">
        <f>G70-D70</f>
        <v>0</v>
      </c>
      <c r="K70" s="51"/>
      <c r="L70" s="53">
        <f>I70-F70</f>
        <v>0</v>
      </c>
      <c r="M70" s="53">
        <f>J70-G70</f>
        <v>0</v>
      </c>
      <c r="N70" s="51"/>
      <c r="O70" s="53">
        <f>L70-I70</f>
        <v>0</v>
      </c>
    </row>
    <row r="71" spans="1:15" ht="14.25">
      <c r="A71" s="240" t="s">
        <v>148</v>
      </c>
      <c r="B71" s="260" t="s">
        <v>36</v>
      </c>
      <c r="C71" s="241">
        <v>4239</v>
      </c>
      <c r="D71" s="241"/>
      <c r="E71" s="242"/>
      <c r="F71" s="242">
        <f>F74+F75</f>
        <v>449.7</v>
      </c>
      <c r="G71" s="242"/>
      <c r="H71" s="242"/>
      <c r="I71" s="242">
        <f>I74+I75</f>
        <v>450</v>
      </c>
      <c r="J71" s="242"/>
      <c r="K71" s="242"/>
      <c r="L71" s="242">
        <f>L74+L75</f>
        <v>450</v>
      </c>
      <c r="M71" s="53">
        <f aca="true" t="shared" si="0" ref="M71:M79">J71-G71</f>
        <v>0</v>
      </c>
      <c r="N71" s="51"/>
      <c r="O71" s="53">
        <f aca="true" t="shared" si="1" ref="O71:O79">L71-I71</f>
        <v>0</v>
      </c>
    </row>
    <row r="72" spans="1:15" ht="13.5">
      <c r="A72" s="138"/>
      <c r="B72" s="243" t="s">
        <v>76</v>
      </c>
      <c r="C72" s="51" t="s">
        <v>1</v>
      </c>
      <c r="D72" s="51"/>
      <c r="E72" s="53"/>
      <c r="F72" s="53"/>
      <c r="G72" s="68"/>
      <c r="H72" s="68"/>
      <c r="I72" s="68"/>
      <c r="J72" s="68"/>
      <c r="K72" s="51"/>
      <c r="L72" s="68"/>
      <c r="M72" s="53">
        <f t="shared" si="0"/>
        <v>0</v>
      </c>
      <c r="N72" s="51"/>
      <c r="O72" s="53">
        <f t="shared" si="1"/>
        <v>0</v>
      </c>
    </row>
    <row r="73" spans="1:15" ht="13.5">
      <c r="A73" s="257"/>
      <c r="B73" s="534"/>
      <c r="C73" s="51" t="s">
        <v>1</v>
      </c>
      <c r="D73" s="51"/>
      <c r="E73" s="53"/>
      <c r="F73" s="53"/>
      <c r="G73" s="68"/>
      <c r="H73" s="68"/>
      <c r="I73" s="68"/>
      <c r="J73" s="68"/>
      <c r="K73" s="51"/>
      <c r="L73" s="68"/>
      <c r="M73" s="53">
        <f t="shared" si="0"/>
        <v>0</v>
      </c>
      <c r="N73" s="51"/>
      <c r="O73" s="53">
        <f t="shared" si="1"/>
        <v>0</v>
      </c>
    </row>
    <row r="74" spans="1:15" ht="13.5">
      <c r="A74" s="51">
        <v>1</v>
      </c>
      <c r="B74" s="539" t="s">
        <v>495</v>
      </c>
      <c r="C74" s="51"/>
      <c r="D74" s="51">
        <v>1</v>
      </c>
      <c r="E74" s="53">
        <v>300000</v>
      </c>
      <c r="F74" s="53">
        <v>299.7</v>
      </c>
      <c r="G74" s="53">
        <v>1</v>
      </c>
      <c r="H74" s="53">
        <v>300000</v>
      </c>
      <c r="I74" s="53">
        <v>300</v>
      </c>
      <c r="J74" s="53">
        <v>1</v>
      </c>
      <c r="K74" s="51">
        <v>300000</v>
      </c>
      <c r="L74" s="53">
        <v>300</v>
      </c>
      <c r="M74" s="53">
        <f t="shared" si="0"/>
        <v>0</v>
      </c>
      <c r="N74" s="51"/>
      <c r="O74" s="53">
        <f t="shared" si="1"/>
        <v>0</v>
      </c>
    </row>
    <row r="75" spans="1:15" ht="13.5">
      <c r="A75" s="51">
        <v>2</v>
      </c>
      <c r="B75" s="534" t="s">
        <v>496</v>
      </c>
      <c r="C75" s="51" t="s">
        <v>1</v>
      </c>
      <c r="D75" s="51">
        <v>1</v>
      </c>
      <c r="E75" s="53">
        <v>150000</v>
      </c>
      <c r="F75" s="53">
        <v>150</v>
      </c>
      <c r="G75" s="53">
        <v>1</v>
      </c>
      <c r="H75" s="53">
        <v>150000</v>
      </c>
      <c r="I75" s="53">
        <v>150</v>
      </c>
      <c r="J75" s="53">
        <v>1</v>
      </c>
      <c r="K75" s="51">
        <v>150000</v>
      </c>
      <c r="L75" s="53">
        <v>150</v>
      </c>
      <c r="M75" s="53">
        <f t="shared" si="0"/>
        <v>0</v>
      </c>
      <c r="N75" s="51"/>
      <c r="O75" s="53">
        <f t="shared" si="1"/>
        <v>0</v>
      </c>
    </row>
    <row r="76" spans="1:15" ht="13.5">
      <c r="A76" s="51">
        <v>3</v>
      </c>
      <c r="B76" s="262"/>
      <c r="C76" s="51" t="s">
        <v>1</v>
      </c>
      <c r="D76" s="51"/>
      <c r="E76" s="53"/>
      <c r="F76" s="53"/>
      <c r="G76" s="53"/>
      <c r="H76" s="53">
        <f>F76-D76</f>
        <v>0</v>
      </c>
      <c r="I76" s="53">
        <f>G76-E76</f>
        <v>0</v>
      </c>
      <c r="J76" s="53">
        <f>G76-D76</f>
        <v>0</v>
      </c>
      <c r="K76" s="51"/>
      <c r="L76" s="53">
        <f>I76-F76</f>
        <v>0</v>
      </c>
      <c r="M76" s="53">
        <f t="shared" si="0"/>
        <v>0</v>
      </c>
      <c r="N76" s="51"/>
      <c r="O76" s="53">
        <f t="shared" si="1"/>
        <v>0</v>
      </c>
    </row>
    <row r="77" spans="1:15" ht="28.5">
      <c r="A77" s="240" t="s">
        <v>148</v>
      </c>
      <c r="B77" s="540" t="s">
        <v>38</v>
      </c>
      <c r="C77" s="240">
        <v>4251</v>
      </c>
      <c r="D77" s="53"/>
      <c r="E77" s="53"/>
      <c r="F77" s="53">
        <f>F78</f>
        <v>661.6</v>
      </c>
      <c r="G77" s="53"/>
      <c r="H77" s="53"/>
      <c r="I77" s="53">
        <f>I78+I79</f>
        <v>662.4</v>
      </c>
      <c r="J77" s="53"/>
      <c r="K77" s="53"/>
      <c r="L77" s="53">
        <f>L78+L79</f>
        <v>662.4</v>
      </c>
      <c r="M77" s="53">
        <f t="shared" si="0"/>
        <v>0</v>
      </c>
      <c r="N77" s="51"/>
      <c r="O77" s="53">
        <f t="shared" si="1"/>
        <v>0</v>
      </c>
    </row>
    <row r="78" spans="1:15" ht="14.25">
      <c r="A78" s="240">
        <v>1</v>
      </c>
      <c r="B78" s="540" t="s">
        <v>497</v>
      </c>
      <c r="C78" s="240"/>
      <c r="D78" s="51">
        <v>1</v>
      </c>
      <c r="E78" s="53">
        <v>661600</v>
      </c>
      <c r="F78" s="53">
        <f>D78*E78/1000</f>
        <v>661.6</v>
      </c>
      <c r="G78" s="53">
        <v>1</v>
      </c>
      <c r="H78" s="53">
        <v>662400</v>
      </c>
      <c r="I78" s="53">
        <f>G78*H78/1000</f>
        <v>662.4</v>
      </c>
      <c r="J78" s="242">
        <v>1</v>
      </c>
      <c r="K78" s="51">
        <v>662400</v>
      </c>
      <c r="L78" s="68">
        <v>662.4</v>
      </c>
      <c r="M78" s="53">
        <f t="shared" si="0"/>
        <v>0</v>
      </c>
      <c r="N78" s="51"/>
      <c r="O78" s="53">
        <f t="shared" si="1"/>
        <v>0</v>
      </c>
    </row>
    <row r="79" spans="1:15" ht="14.25">
      <c r="A79" s="240"/>
      <c r="B79" s="540"/>
      <c r="C79" s="240"/>
      <c r="D79" s="51"/>
      <c r="E79" s="53"/>
      <c r="F79" s="53"/>
      <c r="G79" s="53"/>
      <c r="H79" s="53"/>
      <c r="I79" s="53"/>
      <c r="J79" s="242">
        <f>G73-D73</f>
        <v>0</v>
      </c>
      <c r="K79" s="51"/>
      <c r="L79" s="68"/>
      <c r="M79" s="53">
        <f t="shared" si="0"/>
        <v>0</v>
      </c>
      <c r="N79" s="51"/>
      <c r="O79" s="53">
        <f t="shared" si="1"/>
        <v>0</v>
      </c>
    </row>
    <row r="80" spans="1:15" ht="28.5">
      <c r="A80" s="240" t="s">
        <v>148</v>
      </c>
      <c r="B80" s="540" t="s">
        <v>39</v>
      </c>
      <c r="C80" s="240">
        <v>4252</v>
      </c>
      <c r="D80" s="241"/>
      <c r="E80" s="242"/>
      <c r="F80" s="242">
        <f>SUM(F83:F85)</f>
        <v>1112</v>
      </c>
      <c r="G80" s="242"/>
      <c r="H80" s="242"/>
      <c r="I80" s="242">
        <f>SUM(I83:I85)</f>
        <v>1012</v>
      </c>
      <c r="J80" s="242"/>
      <c r="K80" s="242"/>
      <c r="L80" s="242">
        <f>SUM(L83:L85)</f>
        <v>1012</v>
      </c>
      <c r="M80" s="53">
        <f aca="true" t="shared" si="2" ref="M80:M86">J80-G80</f>
        <v>0</v>
      </c>
      <c r="N80" s="51"/>
      <c r="O80" s="53">
        <f aca="true" t="shared" si="3" ref="O80:O86">L80-I80</f>
        <v>0</v>
      </c>
    </row>
    <row r="81" spans="1:15" ht="13.5">
      <c r="A81" s="138"/>
      <c r="B81" s="243" t="s">
        <v>76</v>
      </c>
      <c r="C81" s="51" t="s">
        <v>1</v>
      </c>
      <c r="D81" s="51"/>
      <c r="E81" s="53"/>
      <c r="F81" s="53"/>
      <c r="G81" s="68"/>
      <c r="H81" s="68"/>
      <c r="I81" s="68"/>
      <c r="J81" s="68"/>
      <c r="K81" s="51"/>
      <c r="L81" s="68"/>
      <c r="M81" s="53">
        <f t="shared" si="2"/>
        <v>0</v>
      </c>
      <c r="N81" s="51"/>
      <c r="O81" s="53">
        <f t="shared" si="3"/>
        <v>0</v>
      </c>
    </row>
    <row r="82" spans="1:15" ht="13.5">
      <c r="A82" s="257"/>
      <c r="B82" s="534"/>
      <c r="C82" s="51" t="s">
        <v>1</v>
      </c>
      <c r="D82" s="51"/>
      <c r="E82" s="53"/>
      <c r="F82" s="53"/>
      <c r="G82" s="68"/>
      <c r="H82" s="68"/>
      <c r="I82" s="68"/>
      <c r="J82" s="68"/>
      <c r="K82" s="51"/>
      <c r="L82" s="68"/>
      <c r="M82" s="53">
        <f t="shared" si="2"/>
        <v>0</v>
      </c>
      <c r="N82" s="51"/>
      <c r="O82" s="53">
        <f t="shared" si="3"/>
        <v>0</v>
      </c>
    </row>
    <row r="83" spans="1:15" ht="13.5">
      <c r="A83" s="51">
        <v>1</v>
      </c>
      <c r="B83" s="535" t="s">
        <v>40</v>
      </c>
      <c r="C83" s="51"/>
      <c r="D83" s="51">
        <v>1</v>
      </c>
      <c r="E83" s="53">
        <v>712000</v>
      </c>
      <c r="F83" s="53">
        <f>D83*E83/1000</f>
        <v>712</v>
      </c>
      <c r="G83" s="53">
        <v>1</v>
      </c>
      <c r="H83" s="53">
        <v>612000</v>
      </c>
      <c r="I83" s="53">
        <f>G83*H83/1000</f>
        <v>612</v>
      </c>
      <c r="J83" s="53">
        <v>1</v>
      </c>
      <c r="K83" s="51">
        <v>612000</v>
      </c>
      <c r="L83" s="53">
        <v>612</v>
      </c>
      <c r="M83" s="53">
        <f t="shared" si="2"/>
        <v>0</v>
      </c>
      <c r="N83" s="51"/>
      <c r="O83" s="53">
        <f t="shared" si="3"/>
        <v>0</v>
      </c>
    </row>
    <row r="84" spans="1:15" ht="13.5">
      <c r="A84" s="51">
        <v>2</v>
      </c>
      <c r="B84" s="535" t="s">
        <v>41</v>
      </c>
      <c r="C84" s="51" t="s">
        <v>1</v>
      </c>
      <c r="D84" s="51">
        <v>1</v>
      </c>
      <c r="E84" s="53">
        <v>400000</v>
      </c>
      <c r="F84" s="53">
        <f>D84*E84/1000</f>
        <v>400</v>
      </c>
      <c r="G84" s="53">
        <v>1</v>
      </c>
      <c r="H84" s="53">
        <v>400000</v>
      </c>
      <c r="I84" s="53">
        <f>G84*H84/1000</f>
        <v>400</v>
      </c>
      <c r="J84" s="53">
        <v>1</v>
      </c>
      <c r="K84" s="51">
        <v>400000</v>
      </c>
      <c r="L84" s="53">
        <v>400</v>
      </c>
      <c r="M84" s="53">
        <f t="shared" si="2"/>
        <v>0</v>
      </c>
      <c r="N84" s="51"/>
      <c r="O84" s="53">
        <f t="shared" si="3"/>
        <v>0</v>
      </c>
    </row>
    <row r="85" spans="1:15" ht="13.5">
      <c r="A85" s="51">
        <v>3</v>
      </c>
      <c r="B85" s="262"/>
      <c r="C85" s="51" t="s">
        <v>1</v>
      </c>
      <c r="D85" s="51"/>
      <c r="E85" s="53"/>
      <c r="F85" s="53"/>
      <c r="G85" s="53"/>
      <c r="H85" s="53">
        <f>F85-D85</f>
        <v>0</v>
      </c>
      <c r="I85" s="53">
        <f>G85-E85</f>
        <v>0</v>
      </c>
      <c r="J85" s="53">
        <f>G85-D85</f>
        <v>0</v>
      </c>
      <c r="K85" s="51"/>
      <c r="L85" s="53">
        <f>I85-F85</f>
        <v>0</v>
      </c>
      <c r="M85" s="53">
        <f t="shared" si="2"/>
        <v>0</v>
      </c>
      <c r="N85" s="51"/>
      <c r="O85" s="53">
        <f t="shared" si="3"/>
        <v>0</v>
      </c>
    </row>
    <row r="86" spans="1:15" ht="14.25">
      <c r="A86" s="240" t="s">
        <v>148</v>
      </c>
      <c r="B86" s="260" t="s">
        <v>572</v>
      </c>
      <c r="C86" s="241">
        <v>4261</v>
      </c>
      <c r="D86" s="241"/>
      <c r="E86" s="242"/>
      <c r="F86" s="242">
        <f>F88+F89+F90+F91+F92+F93+F94+F95+F96+F97+F98+F99+F100+F101+F102+F103+F104+F105+F106+F107+F108+F109</f>
        <v>1295.05</v>
      </c>
      <c r="G86" s="242"/>
      <c r="H86" s="242"/>
      <c r="I86" s="242">
        <f>I88+I89+I90+I91+I92+I93+I94+I95+I96+I97+I98+I99+I100+I101+I102+I103+I104+I105+I106+I107+I108+I109</f>
        <v>1049.1979999999999</v>
      </c>
      <c r="J86" s="242"/>
      <c r="K86" s="242"/>
      <c r="L86" s="242">
        <f>L88+L89+L90+L91+L92+L93+L94+L95+L96+L97+L98+L99+L100+L101+L102+L103+L104+L105+L106+L107+L108+L109</f>
        <v>1295.05</v>
      </c>
      <c r="M86" s="53">
        <f t="shared" si="2"/>
        <v>0</v>
      </c>
      <c r="N86" s="51"/>
      <c r="O86" s="53">
        <f t="shared" si="3"/>
        <v>245.8520000000001</v>
      </c>
    </row>
    <row r="87" spans="1:15" ht="14.25">
      <c r="A87" s="541"/>
      <c r="B87" s="243" t="s">
        <v>76</v>
      </c>
      <c r="C87" s="51" t="s">
        <v>1</v>
      </c>
      <c r="D87" s="51"/>
      <c r="E87" s="542"/>
      <c r="F87" s="242"/>
      <c r="G87" s="242"/>
      <c r="H87" s="242"/>
      <c r="I87" s="242"/>
      <c r="J87" s="68"/>
      <c r="K87" s="51"/>
      <c r="L87" s="68"/>
      <c r="M87" s="53">
        <f aca="true" t="shared" si="4" ref="M87:M107">J87-G87</f>
        <v>0</v>
      </c>
      <c r="N87" s="51"/>
      <c r="O87" s="53">
        <f aca="true" t="shared" si="5" ref="O87:O107">L87-I87</f>
        <v>0</v>
      </c>
    </row>
    <row r="88" spans="1:15" ht="13.5">
      <c r="A88" s="51">
        <v>1</v>
      </c>
      <c r="B88" s="535" t="s">
        <v>498</v>
      </c>
      <c r="C88" s="51" t="s">
        <v>1</v>
      </c>
      <c r="D88" s="51">
        <v>1000</v>
      </c>
      <c r="E88" s="547">
        <v>555.75</v>
      </c>
      <c r="F88" s="51">
        <f>D88*E88/1000</f>
        <v>555.75</v>
      </c>
      <c r="G88" s="51">
        <v>805.33</v>
      </c>
      <c r="H88" s="542">
        <v>600</v>
      </c>
      <c r="I88" s="53">
        <f>G88*H88/1000</f>
        <v>483.198</v>
      </c>
      <c r="J88" s="51">
        <v>1000</v>
      </c>
      <c r="K88" s="547">
        <v>555.75</v>
      </c>
      <c r="L88" s="51">
        <f>J88*K88/1000</f>
        <v>555.75</v>
      </c>
      <c r="M88" s="53">
        <f t="shared" si="4"/>
        <v>194.66999999999996</v>
      </c>
      <c r="N88" s="51"/>
      <c r="O88" s="53">
        <f t="shared" si="5"/>
        <v>72.55200000000002</v>
      </c>
    </row>
    <row r="89" spans="1:15" ht="13.5">
      <c r="A89" s="51">
        <v>2</v>
      </c>
      <c r="B89" s="535" t="s">
        <v>499</v>
      </c>
      <c r="C89" s="51" t="s">
        <v>1</v>
      </c>
      <c r="D89" s="51">
        <v>200</v>
      </c>
      <c r="E89" s="542">
        <v>70</v>
      </c>
      <c r="F89" s="51">
        <f aca="true" t="shared" si="6" ref="F89:F109">D89*E89/1000</f>
        <v>14</v>
      </c>
      <c r="G89" s="51">
        <v>200</v>
      </c>
      <c r="H89" s="542">
        <v>60</v>
      </c>
      <c r="I89" s="53">
        <f aca="true" t="shared" si="7" ref="I89:I109">G89*H89/1000</f>
        <v>12</v>
      </c>
      <c r="J89" s="51">
        <v>200</v>
      </c>
      <c r="K89" s="542">
        <v>70</v>
      </c>
      <c r="L89" s="51">
        <f aca="true" t="shared" si="8" ref="L89:L109">J89*K89/1000</f>
        <v>14</v>
      </c>
      <c r="M89" s="53">
        <f t="shared" si="4"/>
        <v>0</v>
      </c>
      <c r="N89" s="51"/>
      <c r="O89" s="53">
        <f t="shared" si="5"/>
        <v>2</v>
      </c>
    </row>
    <row r="90" spans="1:15" ht="13.5">
      <c r="A90" s="51">
        <v>3</v>
      </c>
      <c r="B90" s="535" t="s">
        <v>500</v>
      </c>
      <c r="C90" s="51" t="s">
        <v>1</v>
      </c>
      <c r="D90" s="51">
        <v>200</v>
      </c>
      <c r="E90" s="542">
        <v>50</v>
      </c>
      <c r="F90" s="51">
        <f t="shared" si="6"/>
        <v>10</v>
      </c>
      <c r="G90" s="51">
        <v>200</v>
      </c>
      <c r="H90" s="542">
        <v>40</v>
      </c>
      <c r="I90" s="53">
        <f t="shared" si="7"/>
        <v>8</v>
      </c>
      <c r="J90" s="51">
        <v>200</v>
      </c>
      <c r="K90" s="542">
        <v>50</v>
      </c>
      <c r="L90" s="51">
        <f t="shared" si="8"/>
        <v>10</v>
      </c>
      <c r="M90" s="53">
        <f t="shared" si="4"/>
        <v>0</v>
      </c>
      <c r="N90" s="51"/>
      <c r="O90" s="53">
        <f t="shared" si="5"/>
        <v>2</v>
      </c>
    </row>
    <row r="91" spans="1:15" ht="13.5">
      <c r="A91" s="51">
        <v>4</v>
      </c>
      <c r="B91" s="535" t="s">
        <v>501</v>
      </c>
      <c r="C91" s="51" t="s">
        <v>1</v>
      </c>
      <c r="D91" s="51">
        <v>100</v>
      </c>
      <c r="E91" s="542">
        <v>100</v>
      </c>
      <c r="F91" s="51">
        <f t="shared" si="6"/>
        <v>10</v>
      </c>
      <c r="G91" s="51">
        <v>100</v>
      </c>
      <c r="H91" s="542">
        <v>70</v>
      </c>
      <c r="I91" s="53">
        <f t="shared" si="7"/>
        <v>7</v>
      </c>
      <c r="J91" s="51">
        <v>100</v>
      </c>
      <c r="K91" s="542">
        <v>100</v>
      </c>
      <c r="L91" s="51">
        <f t="shared" si="8"/>
        <v>10</v>
      </c>
      <c r="M91" s="53">
        <f t="shared" si="4"/>
        <v>0</v>
      </c>
      <c r="N91" s="51"/>
      <c r="O91" s="53">
        <f t="shared" si="5"/>
        <v>3</v>
      </c>
    </row>
    <row r="92" spans="1:15" ht="13.5">
      <c r="A92" s="51">
        <v>5</v>
      </c>
      <c r="B92" s="535" t="s">
        <v>502</v>
      </c>
      <c r="C92" s="51" t="s">
        <v>1</v>
      </c>
      <c r="D92" s="51">
        <v>10</v>
      </c>
      <c r="E92" s="542">
        <v>2000</v>
      </c>
      <c r="F92" s="51">
        <f t="shared" si="6"/>
        <v>20</v>
      </c>
      <c r="G92" s="51">
        <v>10</v>
      </c>
      <c r="H92" s="542">
        <v>1300</v>
      </c>
      <c r="I92" s="53">
        <f t="shared" si="7"/>
        <v>13</v>
      </c>
      <c r="J92" s="51">
        <v>10</v>
      </c>
      <c r="K92" s="542">
        <v>2000</v>
      </c>
      <c r="L92" s="51">
        <f t="shared" si="8"/>
        <v>20</v>
      </c>
      <c r="M92" s="53">
        <f t="shared" si="4"/>
        <v>0</v>
      </c>
      <c r="N92" s="51"/>
      <c r="O92" s="53">
        <f t="shared" si="5"/>
        <v>7</v>
      </c>
    </row>
    <row r="93" spans="1:15" ht="13.5">
      <c r="A93" s="51">
        <v>6</v>
      </c>
      <c r="B93" s="535" t="s">
        <v>503</v>
      </c>
      <c r="C93" s="51" t="s">
        <v>1</v>
      </c>
      <c r="D93" s="51">
        <v>11</v>
      </c>
      <c r="E93" s="542">
        <v>5000</v>
      </c>
      <c r="F93" s="51">
        <f t="shared" si="6"/>
        <v>55</v>
      </c>
      <c r="G93" s="51">
        <v>10</v>
      </c>
      <c r="H93" s="542">
        <v>2000</v>
      </c>
      <c r="I93" s="53">
        <f t="shared" si="7"/>
        <v>20</v>
      </c>
      <c r="J93" s="51">
        <v>11</v>
      </c>
      <c r="K93" s="542">
        <v>5000</v>
      </c>
      <c r="L93" s="51">
        <f t="shared" si="8"/>
        <v>55</v>
      </c>
      <c r="M93" s="53">
        <f t="shared" si="4"/>
        <v>1</v>
      </c>
      <c r="N93" s="51"/>
      <c r="O93" s="53">
        <f t="shared" si="5"/>
        <v>35</v>
      </c>
    </row>
    <row r="94" spans="1:15" ht="13.5">
      <c r="A94" s="51">
        <v>7</v>
      </c>
      <c r="B94" s="535" t="s">
        <v>504</v>
      </c>
      <c r="C94" s="51" t="s">
        <v>1</v>
      </c>
      <c r="D94" s="51">
        <v>500</v>
      </c>
      <c r="E94" s="542">
        <v>100</v>
      </c>
      <c r="F94" s="51">
        <f t="shared" si="6"/>
        <v>50</v>
      </c>
      <c r="G94" s="51">
        <v>500</v>
      </c>
      <c r="H94" s="542">
        <v>70</v>
      </c>
      <c r="I94" s="53">
        <f t="shared" si="7"/>
        <v>35</v>
      </c>
      <c r="J94" s="51">
        <v>500</v>
      </c>
      <c r="K94" s="542">
        <v>100</v>
      </c>
      <c r="L94" s="51">
        <f t="shared" si="8"/>
        <v>50</v>
      </c>
      <c r="M94" s="53">
        <f t="shared" si="4"/>
        <v>0</v>
      </c>
      <c r="N94" s="51"/>
      <c r="O94" s="53">
        <f t="shared" si="5"/>
        <v>15</v>
      </c>
    </row>
    <row r="95" spans="1:15" ht="13.5">
      <c r="A95" s="51">
        <v>8</v>
      </c>
      <c r="B95" s="535" t="s">
        <v>505</v>
      </c>
      <c r="C95" s="51" t="s">
        <v>1</v>
      </c>
      <c r="D95" s="51">
        <v>200</v>
      </c>
      <c r="E95" s="542">
        <v>150</v>
      </c>
      <c r="F95" s="51">
        <f t="shared" si="6"/>
        <v>30</v>
      </c>
      <c r="G95" s="51">
        <v>200</v>
      </c>
      <c r="H95" s="542">
        <v>120</v>
      </c>
      <c r="I95" s="53">
        <f t="shared" si="7"/>
        <v>24</v>
      </c>
      <c r="J95" s="51">
        <v>200</v>
      </c>
      <c r="K95" s="542">
        <v>150</v>
      </c>
      <c r="L95" s="51">
        <f t="shared" si="8"/>
        <v>30</v>
      </c>
      <c r="M95" s="53">
        <f t="shared" si="4"/>
        <v>0</v>
      </c>
      <c r="N95" s="51"/>
      <c r="O95" s="53">
        <f t="shared" si="5"/>
        <v>6</v>
      </c>
    </row>
    <row r="96" spans="1:15" ht="13.5">
      <c r="A96" s="51">
        <v>9</v>
      </c>
      <c r="B96" s="535" t="s">
        <v>506</v>
      </c>
      <c r="C96" s="51" t="s">
        <v>1</v>
      </c>
      <c r="D96" s="51">
        <v>100</v>
      </c>
      <c r="E96" s="542">
        <v>100</v>
      </c>
      <c r="F96" s="51">
        <f t="shared" si="6"/>
        <v>10</v>
      </c>
      <c r="G96" s="51">
        <v>100</v>
      </c>
      <c r="H96" s="542">
        <v>100</v>
      </c>
      <c r="I96" s="53">
        <f t="shared" si="7"/>
        <v>10</v>
      </c>
      <c r="J96" s="51">
        <v>100</v>
      </c>
      <c r="K96" s="542">
        <v>100</v>
      </c>
      <c r="L96" s="51">
        <f t="shared" si="8"/>
        <v>10</v>
      </c>
      <c r="M96" s="53">
        <f t="shared" si="4"/>
        <v>0</v>
      </c>
      <c r="N96" s="51"/>
      <c r="O96" s="53">
        <f t="shared" si="5"/>
        <v>0</v>
      </c>
    </row>
    <row r="97" spans="1:15" ht="13.5">
      <c r="A97" s="51">
        <v>10</v>
      </c>
      <c r="B97" s="535" t="s">
        <v>507</v>
      </c>
      <c r="C97" s="51" t="s">
        <v>1</v>
      </c>
      <c r="D97" s="51">
        <v>10</v>
      </c>
      <c r="E97" s="542">
        <v>2000</v>
      </c>
      <c r="F97" s="51">
        <f t="shared" si="6"/>
        <v>20</v>
      </c>
      <c r="G97" s="51">
        <v>10</v>
      </c>
      <c r="H97" s="542">
        <v>2000</v>
      </c>
      <c r="I97" s="53">
        <f t="shared" si="7"/>
        <v>20</v>
      </c>
      <c r="J97" s="51">
        <v>10</v>
      </c>
      <c r="K97" s="542">
        <v>2000</v>
      </c>
      <c r="L97" s="51">
        <f t="shared" si="8"/>
        <v>20</v>
      </c>
      <c r="M97" s="53">
        <f t="shared" si="4"/>
        <v>0</v>
      </c>
      <c r="N97" s="51"/>
      <c r="O97" s="53">
        <f t="shared" si="5"/>
        <v>0</v>
      </c>
    </row>
    <row r="98" spans="1:15" ht="13.5">
      <c r="A98" s="51">
        <v>11</v>
      </c>
      <c r="B98" s="535" t="s">
        <v>508</v>
      </c>
      <c r="C98" s="51" t="s">
        <v>1</v>
      </c>
      <c r="D98" s="51">
        <v>20</v>
      </c>
      <c r="E98" s="542">
        <v>8000</v>
      </c>
      <c r="F98" s="51">
        <f t="shared" si="6"/>
        <v>160</v>
      </c>
      <c r="G98" s="51">
        <v>20</v>
      </c>
      <c r="H98" s="542">
        <v>5000</v>
      </c>
      <c r="I98" s="53">
        <f t="shared" si="7"/>
        <v>100</v>
      </c>
      <c r="J98" s="51">
        <v>20</v>
      </c>
      <c r="K98" s="542">
        <v>8000</v>
      </c>
      <c r="L98" s="51">
        <f t="shared" si="8"/>
        <v>160</v>
      </c>
      <c r="M98" s="53">
        <f t="shared" si="4"/>
        <v>0</v>
      </c>
      <c r="N98" s="51"/>
      <c r="O98" s="53">
        <f t="shared" si="5"/>
        <v>60</v>
      </c>
    </row>
    <row r="99" spans="1:15" ht="13.5">
      <c r="A99" s="51">
        <v>12</v>
      </c>
      <c r="B99" s="535" t="s">
        <v>509</v>
      </c>
      <c r="C99" s="51" t="s">
        <v>1</v>
      </c>
      <c r="D99" s="51">
        <v>3000</v>
      </c>
      <c r="E99" s="542">
        <v>10</v>
      </c>
      <c r="F99" s="51">
        <f t="shared" si="6"/>
        <v>30</v>
      </c>
      <c r="G99" s="51">
        <v>3000</v>
      </c>
      <c r="H99" s="542">
        <v>10</v>
      </c>
      <c r="I99" s="53">
        <f t="shared" si="7"/>
        <v>30</v>
      </c>
      <c r="J99" s="51">
        <v>3000</v>
      </c>
      <c r="K99" s="542">
        <v>10</v>
      </c>
      <c r="L99" s="51">
        <f t="shared" si="8"/>
        <v>30</v>
      </c>
      <c r="M99" s="53">
        <f t="shared" si="4"/>
        <v>0</v>
      </c>
      <c r="N99" s="51"/>
      <c r="O99" s="53">
        <f t="shared" si="5"/>
        <v>0</v>
      </c>
    </row>
    <row r="100" spans="1:15" ht="13.5">
      <c r="A100" s="51">
        <v>13</v>
      </c>
      <c r="B100" s="535" t="s">
        <v>510</v>
      </c>
      <c r="C100" s="51" t="s">
        <v>1</v>
      </c>
      <c r="D100" s="51">
        <v>20</v>
      </c>
      <c r="E100" s="542">
        <v>1500</v>
      </c>
      <c r="F100" s="51">
        <f t="shared" si="6"/>
        <v>30</v>
      </c>
      <c r="G100" s="51">
        <v>20</v>
      </c>
      <c r="H100" s="542">
        <v>1250</v>
      </c>
      <c r="I100" s="53">
        <f t="shared" si="7"/>
        <v>25</v>
      </c>
      <c r="J100" s="51">
        <v>20</v>
      </c>
      <c r="K100" s="542">
        <v>1500</v>
      </c>
      <c r="L100" s="51">
        <f t="shared" si="8"/>
        <v>30</v>
      </c>
      <c r="M100" s="53">
        <f t="shared" si="4"/>
        <v>0</v>
      </c>
      <c r="N100" s="51"/>
      <c r="O100" s="53">
        <f t="shared" si="5"/>
        <v>5</v>
      </c>
    </row>
    <row r="101" spans="1:15" ht="13.5">
      <c r="A101" s="51">
        <v>14</v>
      </c>
      <c r="B101" s="535" t="s">
        <v>511</v>
      </c>
      <c r="C101" s="51" t="s">
        <v>1</v>
      </c>
      <c r="D101" s="51">
        <v>35</v>
      </c>
      <c r="E101" s="542">
        <v>4000</v>
      </c>
      <c r="F101" s="51">
        <f t="shared" si="6"/>
        <v>140</v>
      </c>
      <c r="G101" s="51">
        <v>35</v>
      </c>
      <c r="H101" s="542">
        <v>3000</v>
      </c>
      <c r="I101" s="53">
        <f t="shared" si="7"/>
        <v>105</v>
      </c>
      <c r="J101" s="51">
        <v>35</v>
      </c>
      <c r="K101" s="542">
        <v>4000</v>
      </c>
      <c r="L101" s="51">
        <f t="shared" si="8"/>
        <v>140</v>
      </c>
      <c r="M101" s="53">
        <f t="shared" si="4"/>
        <v>0</v>
      </c>
      <c r="N101" s="51"/>
      <c r="O101" s="53">
        <f t="shared" si="5"/>
        <v>35</v>
      </c>
    </row>
    <row r="102" spans="1:15" ht="13.5">
      <c r="A102" s="51">
        <v>15</v>
      </c>
      <c r="B102" s="535" t="s">
        <v>512</v>
      </c>
      <c r="C102" s="51" t="s">
        <v>1</v>
      </c>
      <c r="D102" s="51">
        <v>1</v>
      </c>
      <c r="E102" s="542">
        <v>80000</v>
      </c>
      <c r="F102" s="51">
        <f t="shared" si="6"/>
        <v>80</v>
      </c>
      <c r="G102" s="51">
        <v>1</v>
      </c>
      <c r="H102" s="542">
        <v>80000</v>
      </c>
      <c r="I102" s="53">
        <f t="shared" si="7"/>
        <v>80</v>
      </c>
      <c r="J102" s="51">
        <v>1</v>
      </c>
      <c r="K102" s="542">
        <v>80000</v>
      </c>
      <c r="L102" s="51">
        <f t="shared" si="8"/>
        <v>80</v>
      </c>
      <c r="M102" s="53">
        <f t="shared" si="4"/>
        <v>0</v>
      </c>
      <c r="N102" s="51"/>
      <c r="O102" s="53">
        <f t="shared" si="5"/>
        <v>0</v>
      </c>
    </row>
    <row r="103" spans="1:15" ht="13.5">
      <c r="A103" s="51">
        <v>16</v>
      </c>
      <c r="B103" s="535" t="s">
        <v>513</v>
      </c>
      <c r="C103" s="51" t="s">
        <v>1</v>
      </c>
      <c r="D103" s="51">
        <v>30</v>
      </c>
      <c r="E103" s="542">
        <v>300</v>
      </c>
      <c r="F103" s="51">
        <f t="shared" si="6"/>
        <v>9</v>
      </c>
      <c r="G103" s="51">
        <v>30</v>
      </c>
      <c r="H103" s="542">
        <v>200</v>
      </c>
      <c r="I103" s="53">
        <f t="shared" si="7"/>
        <v>6</v>
      </c>
      <c r="J103" s="51">
        <v>30</v>
      </c>
      <c r="K103" s="542">
        <v>300</v>
      </c>
      <c r="L103" s="51">
        <f t="shared" si="8"/>
        <v>9</v>
      </c>
      <c r="M103" s="53">
        <f t="shared" si="4"/>
        <v>0</v>
      </c>
      <c r="N103" s="51"/>
      <c r="O103" s="53">
        <f t="shared" si="5"/>
        <v>3</v>
      </c>
    </row>
    <row r="104" spans="1:15" ht="13.5">
      <c r="A104" s="51">
        <v>17</v>
      </c>
      <c r="B104" s="535" t="s">
        <v>514</v>
      </c>
      <c r="C104" s="51" t="s">
        <v>1</v>
      </c>
      <c r="D104" s="51">
        <v>106</v>
      </c>
      <c r="E104" s="542">
        <v>50</v>
      </c>
      <c r="F104" s="51">
        <f t="shared" si="6"/>
        <v>5.3</v>
      </c>
      <c r="G104" s="51">
        <v>100</v>
      </c>
      <c r="H104" s="542">
        <v>50</v>
      </c>
      <c r="I104" s="53">
        <f t="shared" si="7"/>
        <v>5</v>
      </c>
      <c r="J104" s="51">
        <v>106</v>
      </c>
      <c r="K104" s="542">
        <v>50</v>
      </c>
      <c r="L104" s="51">
        <f t="shared" si="8"/>
        <v>5.3</v>
      </c>
      <c r="M104" s="53">
        <f t="shared" si="4"/>
        <v>6</v>
      </c>
      <c r="N104" s="51"/>
      <c r="O104" s="53">
        <f t="shared" si="5"/>
        <v>0.2999999999999998</v>
      </c>
    </row>
    <row r="105" spans="1:15" ht="13.5">
      <c r="A105" s="51">
        <v>18</v>
      </c>
      <c r="B105" s="535" t="s">
        <v>515</v>
      </c>
      <c r="C105" s="51" t="s">
        <v>1</v>
      </c>
      <c r="D105" s="51">
        <v>20</v>
      </c>
      <c r="E105" s="542">
        <v>700</v>
      </c>
      <c r="F105" s="51">
        <f t="shared" si="6"/>
        <v>14</v>
      </c>
      <c r="G105" s="51">
        <v>20</v>
      </c>
      <c r="H105" s="542">
        <v>700</v>
      </c>
      <c r="I105" s="53">
        <f t="shared" si="7"/>
        <v>14</v>
      </c>
      <c r="J105" s="51">
        <v>20</v>
      </c>
      <c r="K105" s="542">
        <v>700</v>
      </c>
      <c r="L105" s="51">
        <f t="shared" si="8"/>
        <v>14</v>
      </c>
      <c r="M105" s="53">
        <f t="shared" si="4"/>
        <v>0</v>
      </c>
      <c r="N105" s="51"/>
      <c r="O105" s="53">
        <f t="shared" si="5"/>
        <v>0</v>
      </c>
    </row>
    <row r="106" spans="1:15" ht="13.5">
      <c r="A106" s="51">
        <v>19</v>
      </c>
      <c r="B106" s="535" t="s">
        <v>516</v>
      </c>
      <c r="C106" s="51" t="s">
        <v>1</v>
      </c>
      <c r="D106" s="51">
        <v>300</v>
      </c>
      <c r="E106" s="542">
        <v>100</v>
      </c>
      <c r="F106" s="51">
        <f t="shared" si="6"/>
        <v>30</v>
      </c>
      <c r="G106" s="51">
        <v>300</v>
      </c>
      <c r="H106" s="542">
        <v>100</v>
      </c>
      <c r="I106" s="53">
        <f t="shared" si="7"/>
        <v>30</v>
      </c>
      <c r="J106" s="51">
        <v>300</v>
      </c>
      <c r="K106" s="542">
        <v>100</v>
      </c>
      <c r="L106" s="51">
        <f t="shared" si="8"/>
        <v>30</v>
      </c>
      <c r="M106" s="53">
        <f t="shared" si="4"/>
        <v>0</v>
      </c>
      <c r="N106" s="51"/>
      <c r="O106" s="53">
        <f t="shared" si="5"/>
        <v>0</v>
      </c>
    </row>
    <row r="107" spans="1:15" ht="13.5">
      <c r="A107" s="51">
        <v>20</v>
      </c>
      <c r="B107" s="535" t="s">
        <v>517</v>
      </c>
      <c r="C107" s="51" t="s">
        <v>1</v>
      </c>
      <c r="D107" s="51">
        <v>50</v>
      </c>
      <c r="E107" s="542">
        <v>140</v>
      </c>
      <c r="F107" s="51">
        <f t="shared" si="6"/>
        <v>7</v>
      </c>
      <c r="G107" s="51">
        <v>50</v>
      </c>
      <c r="H107" s="542">
        <v>140</v>
      </c>
      <c r="I107" s="53">
        <f t="shared" si="7"/>
        <v>7</v>
      </c>
      <c r="J107" s="51">
        <v>50</v>
      </c>
      <c r="K107" s="542">
        <v>140</v>
      </c>
      <c r="L107" s="51">
        <f t="shared" si="8"/>
        <v>7</v>
      </c>
      <c r="M107" s="53">
        <f t="shared" si="4"/>
        <v>0</v>
      </c>
      <c r="N107" s="51"/>
      <c r="O107" s="53">
        <f t="shared" si="5"/>
        <v>0</v>
      </c>
    </row>
    <row r="108" spans="1:15" ht="13.5">
      <c r="A108" s="51">
        <v>21</v>
      </c>
      <c r="B108" s="535" t="s">
        <v>518</v>
      </c>
      <c r="C108" s="51" t="s">
        <v>1</v>
      </c>
      <c r="D108" s="51">
        <v>10</v>
      </c>
      <c r="E108" s="542">
        <v>500</v>
      </c>
      <c r="F108" s="51">
        <f t="shared" si="6"/>
        <v>5</v>
      </c>
      <c r="G108" s="51">
        <v>10</v>
      </c>
      <c r="H108" s="542">
        <v>500</v>
      </c>
      <c r="I108" s="53">
        <f t="shared" si="7"/>
        <v>5</v>
      </c>
      <c r="J108" s="51">
        <v>10</v>
      </c>
      <c r="K108" s="542">
        <v>500</v>
      </c>
      <c r="L108" s="51">
        <f t="shared" si="8"/>
        <v>5</v>
      </c>
      <c r="M108" s="53">
        <f aca="true" t="shared" si="9" ref="M108:M128">J108-G108</f>
        <v>0</v>
      </c>
      <c r="N108" s="51"/>
      <c r="O108" s="53">
        <f aca="true" t="shared" si="10" ref="O108:O137">L108-I108</f>
        <v>0</v>
      </c>
    </row>
    <row r="109" spans="1:15" ht="16.5">
      <c r="A109" s="51">
        <v>22</v>
      </c>
      <c r="B109" s="543" t="s">
        <v>519</v>
      </c>
      <c r="C109" s="51" t="s">
        <v>1</v>
      </c>
      <c r="D109" s="51">
        <v>50</v>
      </c>
      <c r="E109" s="544">
        <v>200</v>
      </c>
      <c r="F109" s="51">
        <f t="shared" si="6"/>
        <v>10</v>
      </c>
      <c r="G109" s="51">
        <v>50</v>
      </c>
      <c r="H109" s="544">
        <v>200</v>
      </c>
      <c r="I109" s="53">
        <f t="shared" si="7"/>
        <v>10</v>
      </c>
      <c r="J109" s="51">
        <v>50</v>
      </c>
      <c r="K109" s="544">
        <v>200</v>
      </c>
      <c r="L109" s="51">
        <f t="shared" si="8"/>
        <v>10</v>
      </c>
      <c r="M109" s="53">
        <f t="shared" si="9"/>
        <v>0</v>
      </c>
      <c r="N109" s="51"/>
      <c r="O109" s="53">
        <f t="shared" si="10"/>
        <v>0</v>
      </c>
    </row>
    <row r="110" spans="1:15" ht="14.25">
      <c r="A110" s="240" t="s">
        <v>148</v>
      </c>
      <c r="B110" s="540" t="s">
        <v>149</v>
      </c>
      <c r="C110" s="540">
        <v>4264</v>
      </c>
      <c r="D110" s="241"/>
      <c r="E110" s="242"/>
      <c r="F110" s="242">
        <f>F112+F113+F114+F115</f>
        <v>3722.4</v>
      </c>
      <c r="G110" s="242"/>
      <c r="H110" s="242"/>
      <c r="I110" s="549">
        <f>I112+I113+I114+I115</f>
        <v>4149.9</v>
      </c>
      <c r="J110" s="549"/>
      <c r="K110" s="549"/>
      <c r="L110" s="549">
        <f>L112+L113+L114+L115</f>
        <v>4150</v>
      </c>
      <c r="M110" s="53">
        <f t="shared" si="9"/>
        <v>0</v>
      </c>
      <c r="N110" s="51"/>
      <c r="O110" s="53">
        <f t="shared" si="10"/>
        <v>0.1000000000003638</v>
      </c>
    </row>
    <row r="111" spans="1:15" ht="13.5">
      <c r="A111" s="138"/>
      <c r="B111" s="243" t="s">
        <v>76</v>
      </c>
      <c r="C111" s="51" t="s">
        <v>1</v>
      </c>
      <c r="D111" s="51"/>
      <c r="E111" s="53"/>
      <c r="F111" s="53"/>
      <c r="G111" s="68"/>
      <c r="H111" s="68"/>
      <c r="I111" s="68"/>
      <c r="J111" s="68"/>
      <c r="K111" s="51"/>
      <c r="L111" s="68"/>
      <c r="M111" s="53">
        <f t="shared" si="9"/>
        <v>0</v>
      </c>
      <c r="N111" s="51"/>
      <c r="O111" s="53">
        <f t="shared" si="10"/>
        <v>0</v>
      </c>
    </row>
    <row r="112" spans="1:15" ht="13.5">
      <c r="A112" s="257">
        <v>1</v>
      </c>
      <c r="B112" s="534" t="s">
        <v>573</v>
      </c>
      <c r="C112" s="51"/>
      <c r="D112" s="51">
        <v>4</v>
      </c>
      <c r="E112" s="53">
        <v>42000</v>
      </c>
      <c r="F112" s="53">
        <v>168</v>
      </c>
      <c r="G112" s="53"/>
      <c r="H112" s="51"/>
      <c r="I112" s="51"/>
      <c r="J112" s="53"/>
      <c r="K112" s="53"/>
      <c r="L112" s="53"/>
      <c r="M112" s="53">
        <f t="shared" si="9"/>
        <v>0</v>
      </c>
      <c r="N112" s="51"/>
      <c r="O112" s="53">
        <f t="shared" si="10"/>
        <v>0</v>
      </c>
    </row>
    <row r="113" spans="1:15" ht="13.5">
      <c r="A113" s="51">
        <v>2</v>
      </c>
      <c r="B113" s="534" t="s">
        <v>520</v>
      </c>
      <c r="C113" s="51" t="s">
        <v>1</v>
      </c>
      <c r="D113" s="51">
        <v>9670</v>
      </c>
      <c r="E113" s="53">
        <v>350</v>
      </c>
      <c r="F113" s="53">
        <v>3384.4</v>
      </c>
      <c r="G113" s="53">
        <v>9222</v>
      </c>
      <c r="H113" s="53">
        <v>450</v>
      </c>
      <c r="I113" s="548">
        <f>G113*H113/1000</f>
        <v>4149.9</v>
      </c>
      <c r="J113" s="53">
        <v>9222</v>
      </c>
      <c r="K113" s="51">
        <v>450</v>
      </c>
      <c r="L113" s="53">
        <v>4150</v>
      </c>
      <c r="M113" s="53">
        <f t="shared" si="9"/>
        <v>0</v>
      </c>
      <c r="N113" s="51"/>
      <c r="O113" s="53">
        <f t="shared" si="10"/>
        <v>0.1000000000003638</v>
      </c>
    </row>
    <row r="114" spans="1:15" ht="13.5">
      <c r="A114" s="51">
        <v>3</v>
      </c>
      <c r="B114" s="534" t="s">
        <v>574</v>
      </c>
      <c r="C114" s="51"/>
      <c r="D114" s="51">
        <v>4</v>
      </c>
      <c r="E114" s="53">
        <v>42500</v>
      </c>
      <c r="F114" s="53">
        <v>170</v>
      </c>
      <c r="G114" s="53"/>
      <c r="H114" s="53"/>
      <c r="I114" s="53"/>
      <c r="J114" s="53"/>
      <c r="K114" s="51"/>
      <c r="L114" s="53"/>
      <c r="M114" s="53">
        <f t="shared" si="9"/>
        <v>0</v>
      </c>
      <c r="N114" s="51"/>
      <c r="O114" s="53">
        <f t="shared" si="10"/>
        <v>0</v>
      </c>
    </row>
    <row r="115" spans="1:15" ht="13.5">
      <c r="A115" s="51">
        <v>4</v>
      </c>
      <c r="B115" s="262"/>
      <c r="C115" s="51" t="s">
        <v>1</v>
      </c>
      <c r="D115" s="51"/>
      <c r="E115" s="53"/>
      <c r="F115" s="53"/>
      <c r="G115" s="53"/>
      <c r="H115" s="53">
        <f>F115-D115</f>
        <v>0</v>
      </c>
      <c r="I115" s="53">
        <f>G115-E115</f>
        <v>0</v>
      </c>
      <c r="J115" s="53">
        <f>G115-D115</f>
        <v>0</v>
      </c>
      <c r="K115" s="51"/>
      <c r="L115" s="53">
        <f>I115-F115</f>
        <v>0</v>
      </c>
      <c r="M115" s="53">
        <f t="shared" si="9"/>
        <v>0</v>
      </c>
      <c r="N115" s="51"/>
      <c r="O115" s="53">
        <f t="shared" si="10"/>
        <v>0</v>
      </c>
    </row>
    <row r="116" spans="1:15" ht="14.25">
      <c r="A116" s="240" t="s">
        <v>148</v>
      </c>
      <c r="B116" s="540" t="s">
        <v>521</v>
      </c>
      <c r="C116" s="540">
        <v>4267</v>
      </c>
      <c r="D116" s="241"/>
      <c r="E116" s="242"/>
      <c r="F116" s="242">
        <f>F119+F120+F121+F122+F123+F124+F125+F126+F127+F128</f>
        <v>451.9</v>
      </c>
      <c r="G116" s="242"/>
      <c r="H116" s="242"/>
      <c r="I116" s="242">
        <f>I119+I120+I121+I122+I123+I124+I125+I126+I127+I128</f>
        <v>452.2</v>
      </c>
      <c r="J116" s="242"/>
      <c r="K116" s="242"/>
      <c r="L116" s="242">
        <f>L119+L120+L121+L122+L123+L124+L125+L126+L127+L128</f>
        <v>452.2</v>
      </c>
      <c r="M116" s="53">
        <f t="shared" si="9"/>
        <v>0</v>
      </c>
      <c r="N116" s="51"/>
      <c r="O116" s="53">
        <f t="shared" si="10"/>
        <v>0</v>
      </c>
    </row>
    <row r="117" spans="1:15" ht="13.5">
      <c r="A117" s="138"/>
      <c r="B117" s="243" t="s">
        <v>76</v>
      </c>
      <c r="C117" s="51"/>
      <c r="D117" s="51"/>
      <c r="E117" s="53"/>
      <c r="F117" s="53"/>
      <c r="G117" s="68"/>
      <c r="H117" s="53">
        <f>F117-D117</f>
        <v>0</v>
      </c>
      <c r="I117" s="68"/>
      <c r="J117" s="68"/>
      <c r="K117" s="51"/>
      <c r="L117" s="68"/>
      <c r="M117" s="53">
        <f t="shared" si="9"/>
        <v>0</v>
      </c>
      <c r="N117" s="51"/>
      <c r="O117" s="53">
        <f t="shared" si="10"/>
        <v>0</v>
      </c>
    </row>
    <row r="118" spans="1:15" ht="13.5">
      <c r="A118" s="257"/>
      <c r="B118" s="261" t="s">
        <v>185</v>
      </c>
      <c r="C118" s="51" t="s">
        <v>1</v>
      </c>
      <c r="D118" s="51"/>
      <c r="E118" s="53"/>
      <c r="F118" s="53"/>
      <c r="G118" s="68"/>
      <c r="H118" s="53">
        <f>F118-D118</f>
        <v>0</v>
      </c>
      <c r="I118" s="68"/>
      <c r="J118" s="68"/>
      <c r="K118" s="51"/>
      <c r="L118" s="68"/>
      <c r="M118" s="53">
        <f t="shared" si="9"/>
        <v>0</v>
      </c>
      <c r="N118" s="51"/>
      <c r="O118" s="53">
        <f t="shared" si="10"/>
        <v>0</v>
      </c>
    </row>
    <row r="119" spans="1:15" ht="13.5">
      <c r="A119" s="257">
        <v>1</v>
      </c>
      <c r="B119" s="534" t="s">
        <v>522</v>
      </c>
      <c r="C119" s="51" t="s">
        <v>1</v>
      </c>
      <c r="D119" s="51">
        <v>20</v>
      </c>
      <c r="E119" s="53">
        <v>2400</v>
      </c>
      <c r="F119" s="51">
        <f>D119*E119/1000</f>
        <v>48</v>
      </c>
      <c r="G119" s="51">
        <v>20</v>
      </c>
      <c r="H119" s="53">
        <v>2400</v>
      </c>
      <c r="I119" s="53">
        <f>G119*H119/1000</f>
        <v>48</v>
      </c>
      <c r="J119" s="51">
        <v>20</v>
      </c>
      <c r="K119" s="53">
        <v>2400</v>
      </c>
      <c r="L119" s="53">
        <f>J119*K119/1000</f>
        <v>48</v>
      </c>
      <c r="M119" s="53">
        <f t="shared" si="9"/>
        <v>0</v>
      </c>
      <c r="N119" s="51"/>
      <c r="O119" s="53">
        <f t="shared" si="10"/>
        <v>0</v>
      </c>
    </row>
    <row r="120" spans="1:15" ht="13.5">
      <c r="A120" s="257">
        <v>2</v>
      </c>
      <c r="B120" s="534" t="s">
        <v>523</v>
      </c>
      <c r="C120" s="51" t="s">
        <v>1</v>
      </c>
      <c r="D120" s="51">
        <v>40</v>
      </c>
      <c r="E120" s="53">
        <v>750</v>
      </c>
      <c r="F120" s="51">
        <f aca="true" t="shared" si="11" ref="F120:F128">D120*E120/1000</f>
        <v>30</v>
      </c>
      <c r="G120" s="51">
        <v>40</v>
      </c>
      <c r="H120" s="53">
        <v>750</v>
      </c>
      <c r="I120" s="53">
        <f aca="true" t="shared" si="12" ref="I120:I128">G120*H120/1000</f>
        <v>30</v>
      </c>
      <c r="J120" s="51">
        <v>40</v>
      </c>
      <c r="K120" s="53">
        <v>750</v>
      </c>
      <c r="L120" s="53">
        <f aca="true" t="shared" si="13" ref="L120:L128">J120*K120/1000</f>
        <v>30</v>
      </c>
      <c r="M120" s="53">
        <f t="shared" si="9"/>
        <v>0</v>
      </c>
      <c r="N120" s="51"/>
      <c r="O120" s="53">
        <f t="shared" si="10"/>
        <v>0</v>
      </c>
    </row>
    <row r="121" spans="1:15" ht="13.5">
      <c r="A121" s="257">
        <v>3</v>
      </c>
      <c r="B121" s="534" t="s">
        <v>524</v>
      </c>
      <c r="C121" s="51" t="s">
        <v>1</v>
      </c>
      <c r="D121" s="51">
        <v>160</v>
      </c>
      <c r="E121" s="53">
        <v>715</v>
      </c>
      <c r="F121" s="51">
        <f t="shared" si="11"/>
        <v>114.4</v>
      </c>
      <c r="G121" s="51">
        <v>160</v>
      </c>
      <c r="H121" s="53">
        <v>715</v>
      </c>
      <c r="I121" s="53">
        <f t="shared" si="12"/>
        <v>114.4</v>
      </c>
      <c r="J121" s="51">
        <v>160</v>
      </c>
      <c r="K121" s="53">
        <v>715</v>
      </c>
      <c r="L121" s="53">
        <f t="shared" si="13"/>
        <v>114.4</v>
      </c>
      <c r="M121" s="53">
        <f t="shared" si="9"/>
        <v>0</v>
      </c>
      <c r="N121" s="51"/>
      <c r="O121" s="53">
        <f t="shared" si="10"/>
        <v>0</v>
      </c>
    </row>
    <row r="122" spans="1:15" ht="13.5">
      <c r="A122" s="257">
        <v>4</v>
      </c>
      <c r="B122" s="534" t="s">
        <v>525</v>
      </c>
      <c r="C122" s="51" t="s">
        <v>1</v>
      </c>
      <c r="D122" s="51">
        <v>50</v>
      </c>
      <c r="E122" s="53">
        <v>1400</v>
      </c>
      <c r="F122" s="51">
        <f t="shared" si="11"/>
        <v>70</v>
      </c>
      <c r="G122" s="51">
        <v>50</v>
      </c>
      <c r="H122" s="53">
        <v>1400</v>
      </c>
      <c r="I122" s="53">
        <f t="shared" si="12"/>
        <v>70</v>
      </c>
      <c r="J122" s="51">
        <v>50</v>
      </c>
      <c r="K122" s="53">
        <v>1400</v>
      </c>
      <c r="L122" s="53">
        <f t="shared" si="13"/>
        <v>70</v>
      </c>
      <c r="M122" s="53">
        <f t="shared" si="9"/>
        <v>0</v>
      </c>
      <c r="N122" s="51"/>
      <c r="O122" s="53">
        <f t="shared" si="10"/>
        <v>0</v>
      </c>
    </row>
    <row r="123" spans="1:15" ht="13.5">
      <c r="A123" s="257">
        <v>5</v>
      </c>
      <c r="B123" s="534" t="s">
        <v>526</v>
      </c>
      <c r="C123" s="51" t="s">
        <v>1</v>
      </c>
      <c r="D123" s="51">
        <v>150</v>
      </c>
      <c r="E123" s="53">
        <v>120</v>
      </c>
      <c r="F123" s="51">
        <f t="shared" si="11"/>
        <v>18</v>
      </c>
      <c r="G123" s="51">
        <v>150</v>
      </c>
      <c r="H123" s="53">
        <v>120</v>
      </c>
      <c r="I123" s="53">
        <f t="shared" si="12"/>
        <v>18</v>
      </c>
      <c r="J123" s="51">
        <v>150</v>
      </c>
      <c r="K123" s="53">
        <v>120</v>
      </c>
      <c r="L123" s="53">
        <f t="shared" si="13"/>
        <v>18</v>
      </c>
      <c r="M123" s="53">
        <f t="shared" si="9"/>
        <v>0</v>
      </c>
      <c r="N123" s="51"/>
      <c r="O123" s="53">
        <f t="shared" si="10"/>
        <v>0</v>
      </c>
    </row>
    <row r="124" spans="1:15" ht="13.5">
      <c r="A124" s="257">
        <v>6</v>
      </c>
      <c r="B124" s="534" t="s">
        <v>527</v>
      </c>
      <c r="C124" s="51" t="s">
        <v>1</v>
      </c>
      <c r="D124" s="51">
        <v>200</v>
      </c>
      <c r="E124" s="53">
        <v>375</v>
      </c>
      <c r="F124" s="51">
        <f t="shared" si="11"/>
        <v>75</v>
      </c>
      <c r="G124" s="51">
        <v>200</v>
      </c>
      <c r="H124" s="53">
        <v>375</v>
      </c>
      <c r="I124" s="53">
        <f t="shared" si="12"/>
        <v>75</v>
      </c>
      <c r="J124" s="51">
        <v>200</v>
      </c>
      <c r="K124" s="53">
        <v>375</v>
      </c>
      <c r="L124" s="53">
        <f t="shared" si="13"/>
        <v>75</v>
      </c>
      <c r="M124" s="53">
        <f t="shared" si="9"/>
        <v>0</v>
      </c>
      <c r="N124" s="51"/>
      <c r="O124" s="53">
        <f t="shared" si="10"/>
        <v>0</v>
      </c>
    </row>
    <row r="125" spans="1:15" ht="13.5">
      <c r="A125" s="257">
        <v>7</v>
      </c>
      <c r="B125" s="534" t="s">
        <v>528</v>
      </c>
      <c r="C125" s="51" t="s">
        <v>1</v>
      </c>
      <c r="D125" s="51">
        <v>368</v>
      </c>
      <c r="E125" s="53">
        <v>100</v>
      </c>
      <c r="F125" s="51">
        <f t="shared" si="11"/>
        <v>36.8</v>
      </c>
      <c r="G125" s="51">
        <v>368</v>
      </c>
      <c r="H125" s="53">
        <v>100</v>
      </c>
      <c r="I125" s="53">
        <f t="shared" si="12"/>
        <v>36.8</v>
      </c>
      <c r="J125" s="51">
        <v>368</v>
      </c>
      <c r="K125" s="53">
        <v>100</v>
      </c>
      <c r="L125" s="53">
        <f t="shared" si="13"/>
        <v>36.8</v>
      </c>
      <c r="M125" s="53">
        <f t="shared" si="9"/>
        <v>0</v>
      </c>
      <c r="N125" s="51"/>
      <c r="O125" s="53">
        <f t="shared" si="10"/>
        <v>0</v>
      </c>
    </row>
    <row r="126" spans="1:15" ht="13.5">
      <c r="A126" s="257">
        <v>8</v>
      </c>
      <c r="B126" s="534" t="s">
        <v>529</v>
      </c>
      <c r="C126" s="51" t="s">
        <v>1</v>
      </c>
      <c r="D126" s="51">
        <v>40</v>
      </c>
      <c r="E126" s="53">
        <v>500</v>
      </c>
      <c r="F126" s="51">
        <f t="shared" si="11"/>
        <v>20</v>
      </c>
      <c r="G126" s="51">
        <v>40</v>
      </c>
      <c r="H126" s="53">
        <v>500</v>
      </c>
      <c r="I126" s="53">
        <f t="shared" si="12"/>
        <v>20</v>
      </c>
      <c r="J126" s="51">
        <v>40</v>
      </c>
      <c r="K126" s="53">
        <v>500</v>
      </c>
      <c r="L126" s="53">
        <f t="shared" si="13"/>
        <v>20</v>
      </c>
      <c r="M126" s="53">
        <f t="shared" si="9"/>
        <v>0</v>
      </c>
      <c r="N126" s="51"/>
      <c r="O126" s="53">
        <f t="shared" si="10"/>
        <v>0</v>
      </c>
    </row>
    <row r="127" spans="1:15" ht="13.5">
      <c r="A127" s="257">
        <v>9</v>
      </c>
      <c r="B127" s="534" t="s">
        <v>530</v>
      </c>
      <c r="C127" s="51" t="s">
        <v>1</v>
      </c>
      <c r="D127" s="51">
        <v>25</v>
      </c>
      <c r="E127" s="53">
        <v>200</v>
      </c>
      <c r="F127" s="51">
        <f t="shared" si="11"/>
        <v>5</v>
      </c>
      <c r="G127" s="51">
        <v>25</v>
      </c>
      <c r="H127" s="53">
        <v>200</v>
      </c>
      <c r="I127" s="53">
        <f t="shared" si="12"/>
        <v>5</v>
      </c>
      <c r="J127" s="51">
        <v>25</v>
      </c>
      <c r="K127" s="53">
        <v>200</v>
      </c>
      <c r="L127" s="53">
        <f t="shared" si="13"/>
        <v>5</v>
      </c>
      <c r="M127" s="53">
        <f t="shared" si="9"/>
        <v>0</v>
      </c>
      <c r="N127" s="51"/>
      <c r="O127" s="53">
        <f t="shared" si="10"/>
        <v>0</v>
      </c>
    </row>
    <row r="128" spans="1:15" ht="13.5">
      <c r="A128" s="257">
        <v>10</v>
      </c>
      <c r="B128" s="534" t="s">
        <v>531</v>
      </c>
      <c r="C128" s="51" t="s">
        <v>1</v>
      </c>
      <c r="D128" s="51">
        <v>100</v>
      </c>
      <c r="E128" s="53">
        <v>347</v>
      </c>
      <c r="F128" s="51">
        <f t="shared" si="11"/>
        <v>34.7</v>
      </c>
      <c r="G128" s="51">
        <v>100</v>
      </c>
      <c r="H128" s="53">
        <v>350</v>
      </c>
      <c r="I128" s="53">
        <f t="shared" si="12"/>
        <v>35</v>
      </c>
      <c r="J128" s="51">
        <v>100</v>
      </c>
      <c r="K128" s="53">
        <v>350</v>
      </c>
      <c r="L128" s="53">
        <f t="shared" si="13"/>
        <v>35</v>
      </c>
      <c r="M128" s="53">
        <f t="shared" si="9"/>
        <v>0</v>
      </c>
      <c r="N128" s="51"/>
      <c r="O128" s="53">
        <f t="shared" si="10"/>
        <v>0</v>
      </c>
    </row>
    <row r="129" spans="1:15" ht="14.25">
      <c r="A129" s="545">
        <v>17</v>
      </c>
      <c r="B129" s="545" t="s">
        <v>532</v>
      </c>
      <c r="C129" s="545">
        <v>5122</v>
      </c>
      <c r="D129" s="241"/>
      <c r="E129" s="242"/>
      <c r="F129" s="242">
        <f>F132+F133+F134+F135+F136+F137</f>
        <v>3786.3140000000003</v>
      </c>
      <c r="G129" s="242"/>
      <c r="H129" s="242"/>
      <c r="I129" s="242">
        <f aca="true" t="shared" si="14" ref="I129:O129">I132+I133+I134+I135+I136+I137</f>
        <v>5100</v>
      </c>
      <c r="J129" s="242"/>
      <c r="K129" s="242"/>
      <c r="L129" s="242">
        <f t="shared" si="14"/>
        <v>4000</v>
      </c>
      <c r="M129" s="242">
        <f t="shared" si="14"/>
        <v>-12</v>
      </c>
      <c r="N129" s="242">
        <f t="shared" si="14"/>
        <v>0</v>
      </c>
      <c r="O129" s="242">
        <f t="shared" si="14"/>
        <v>-1100</v>
      </c>
    </row>
    <row r="130" spans="1:15" ht="14.25">
      <c r="A130" s="546"/>
      <c r="B130" s="243" t="s">
        <v>76</v>
      </c>
      <c r="C130" s="545"/>
      <c r="D130" s="51"/>
      <c r="E130" s="53"/>
      <c r="F130" s="53"/>
      <c r="G130" s="53"/>
      <c r="H130" s="242">
        <f>F130-D130</f>
        <v>0</v>
      </c>
      <c r="I130" s="242">
        <f>G130-E130</f>
        <v>0</v>
      </c>
      <c r="J130" s="53">
        <f aca="true" t="shared" si="15" ref="J130:L131">G130-D130</f>
        <v>0</v>
      </c>
      <c r="K130" s="53">
        <f t="shared" si="15"/>
        <v>0</v>
      </c>
      <c r="L130" s="242">
        <f t="shared" si="15"/>
        <v>0</v>
      </c>
      <c r="M130" s="242"/>
      <c r="N130" s="51"/>
      <c r="O130" s="53">
        <f t="shared" si="10"/>
        <v>0</v>
      </c>
    </row>
    <row r="131" spans="1:15" ht="14.25">
      <c r="A131" s="138"/>
      <c r="B131" s="261" t="s">
        <v>185</v>
      </c>
      <c r="C131" s="68"/>
      <c r="D131" s="51"/>
      <c r="E131" s="53"/>
      <c r="F131" s="53"/>
      <c r="G131" s="53"/>
      <c r="H131" s="242">
        <f>F131-D131</f>
        <v>0</v>
      </c>
      <c r="I131" s="242">
        <f>G131-E131</f>
        <v>0</v>
      </c>
      <c r="J131" s="53">
        <f t="shared" si="15"/>
        <v>0</v>
      </c>
      <c r="K131" s="53">
        <f t="shared" si="15"/>
        <v>0</v>
      </c>
      <c r="L131" s="242">
        <f t="shared" si="15"/>
        <v>0</v>
      </c>
      <c r="M131" s="242"/>
      <c r="N131" s="51"/>
      <c r="O131" s="53">
        <f t="shared" si="10"/>
        <v>0</v>
      </c>
    </row>
    <row r="132" spans="1:15" ht="14.25">
      <c r="A132" s="257">
        <v>1</v>
      </c>
      <c r="B132" s="534" t="s">
        <v>533</v>
      </c>
      <c r="C132" s="68"/>
      <c r="D132" s="51">
        <v>5</v>
      </c>
      <c r="E132" s="53">
        <v>308260</v>
      </c>
      <c r="F132" s="53">
        <f aca="true" t="shared" si="16" ref="F132:F137">D132*E132/1000</f>
        <v>1541.3</v>
      </c>
      <c r="G132" s="53">
        <v>8</v>
      </c>
      <c r="H132" s="242">
        <v>337500</v>
      </c>
      <c r="I132" s="242">
        <f>G132*H132/1000</f>
        <v>2700</v>
      </c>
      <c r="J132" s="53">
        <v>7</v>
      </c>
      <c r="K132" s="242">
        <v>300000</v>
      </c>
      <c r="L132" s="242">
        <f>J132*K132/1000</f>
        <v>2100</v>
      </c>
      <c r="M132" s="242">
        <v>-1</v>
      </c>
      <c r="N132" s="51"/>
      <c r="O132" s="53">
        <f t="shared" si="10"/>
        <v>-600</v>
      </c>
    </row>
    <row r="133" spans="1:15" ht="14.25">
      <c r="A133" s="257">
        <v>2</v>
      </c>
      <c r="B133" s="534" t="s">
        <v>534</v>
      </c>
      <c r="C133" s="68"/>
      <c r="D133" s="51">
        <v>1</v>
      </c>
      <c r="E133" s="53">
        <v>538000</v>
      </c>
      <c r="F133" s="53">
        <f t="shared" si="16"/>
        <v>538</v>
      </c>
      <c r="G133" s="53">
        <v>1</v>
      </c>
      <c r="H133" s="242">
        <v>550000</v>
      </c>
      <c r="I133" s="242">
        <f>G133*H133/1000</f>
        <v>550</v>
      </c>
      <c r="J133" s="53">
        <v>1</v>
      </c>
      <c r="K133" s="242">
        <v>550000</v>
      </c>
      <c r="L133" s="242">
        <f>J133*K133/1000</f>
        <v>550</v>
      </c>
      <c r="M133" s="242">
        <v>0</v>
      </c>
      <c r="N133" s="51"/>
      <c r="O133" s="53">
        <f t="shared" si="10"/>
        <v>0</v>
      </c>
    </row>
    <row r="134" spans="1:15" ht="14.25">
      <c r="A134" s="257">
        <v>3</v>
      </c>
      <c r="B134" s="67" t="s">
        <v>535</v>
      </c>
      <c r="C134" s="68"/>
      <c r="D134" s="51">
        <v>7</v>
      </c>
      <c r="E134" s="53">
        <v>121714</v>
      </c>
      <c r="F134" s="53">
        <f t="shared" si="16"/>
        <v>851.998</v>
      </c>
      <c r="G134" s="53">
        <v>7</v>
      </c>
      <c r="H134" s="242">
        <v>150000</v>
      </c>
      <c r="I134" s="242">
        <f>G134*H134/1000</f>
        <v>1050</v>
      </c>
      <c r="J134" s="53">
        <v>7</v>
      </c>
      <c r="K134" s="242">
        <v>150000</v>
      </c>
      <c r="L134" s="242">
        <f>J134*K134/1000</f>
        <v>1050</v>
      </c>
      <c r="M134" s="242">
        <v>0</v>
      </c>
      <c r="N134" s="51"/>
      <c r="O134" s="53">
        <f t="shared" si="10"/>
        <v>0</v>
      </c>
    </row>
    <row r="135" spans="1:15" ht="14.25">
      <c r="A135" s="257">
        <v>4</v>
      </c>
      <c r="B135" s="534" t="s">
        <v>536</v>
      </c>
      <c r="C135" s="68"/>
      <c r="D135" s="53">
        <v>32</v>
      </c>
      <c r="E135" s="53">
        <v>11438</v>
      </c>
      <c r="F135" s="53">
        <f t="shared" si="16"/>
        <v>366.016</v>
      </c>
      <c r="G135" s="53">
        <v>30</v>
      </c>
      <c r="H135" s="242">
        <v>10000</v>
      </c>
      <c r="I135" s="242">
        <v>300</v>
      </c>
      <c r="J135" s="53">
        <v>30</v>
      </c>
      <c r="K135" s="53">
        <v>1000</v>
      </c>
      <c r="L135" s="242">
        <v>300</v>
      </c>
      <c r="M135" s="242">
        <v>0</v>
      </c>
      <c r="N135" s="51"/>
      <c r="O135" s="53">
        <f t="shared" si="10"/>
        <v>0</v>
      </c>
    </row>
    <row r="136" spans="1:15" ht="14.25">
      <c r="A136" s="257">
        <v>5</v>
      </c>
      <c r="B136" s="534" t="s">
        <v>537</v>
      </c>
      <c r="C136" s="68"/>
      <c r="D136" s="53">
        <v>5</v>
      </c>
      <c r="E136" s="53">
        <v>39000</v>
      </c>
      <c r="F136" s="51">
        <f t="shared" si="16"/>
        <v>195</v>
      </c>
      <c r="G136" s="53">
        <v>5</v>
      </c>
      <c r="H136" s="242">
        <v>40000</v>
      </c>
      <c r="I136" s="242">
        <v>200</v>
      </c>
      <c r="J136" s="53"/>
      <c r="K136" s="53"/>
      <c r="L136" s="242"/>
      <c r="M136" s="242">
        <v>-5</v>
      </c>
      <c r="N136" s="51"/>
      <c r="O136" s="53">
        <f t="shared" si="10"/>
        <v>-200</v>
      </c>
    </row>
    <row r="137" spans="1:15" ht="14.25">
      <c r="A137" s="257">
        <v>4</v>
      </c>
      <c r="B137" s="67" t="s">
        <v>538</v>
      </c>
      <c r="C137" s="68"/>
      <c r="D137" s="51">
        <v>6</v>
      </c>
      <c r="E137" s="53">
        <v>49000</v>
      </c>
      <c r="F137" s="51">
        <f t="shared" si="16"/>
        <v>294</v>
      </c>
      <c r="G137" s="53">
        <v>6</v>
      </c>
      <c r="H137" s="242">
        <v>50000</v>
      </c>
      <c r="I137" s="242">
        <v>300</v>
      </c>
      <c r="J137" s="53"/>
      <c r="K137" s="53"/>
      <c r="L137" s="242"/>
      <c r="M137" s="242">
        <v>-6</v>
      </c>
      <c r="N137" s="51"/>
      <c r="O137" s="53">
        <f t="shared" si="10"/>
        <v>-300</v>
      </c>
    </row>
    <row r="138" spans="1:15" ht="14.25">
      <c r="A138" s="240" t="s">
        <v>148</v>
      </c>
      <c r="B138" s="260" t="s">
        <v>575</v>
      </c>
      <c r="C138" s="241">
        <v>5121</v>
      </c>
      <c r="D138" s="241"/>
      <c r="E138" s="241"/>
      <c r="F138" s="242">
        <f>SUM(F141:F143)</f>
        <v>0</v>
      </c>
      <c r="G138" s="241"/>
      <c r="H138" s="241"/>
      <c r="I138" s="242">
        <f>SUM(I141:I143)</f>
        <v>0</v>
      </c>
      <c r="J138" s="242"/>
      <c r="K138" s="241"/>
      <c r="L138" s="242">
        <f>SUM(L141:L143)</f>
        <v>0</v>
      </c>
      <c r="M138" s="242"/>
      <c r="N138" s="241"/>
      <c r="O138" s="242">
        <f>L138-I138</f>
        <v>0</v>
      </c>
    </row>
    <row r="139" spans="1:15" ht="13.5">
      <c r="A139" s="138"/>
      <c r="B139" s="243" t="s">
        <v>76</v>
      </c>
      <c r="C139" s="51"/>
      <c r="D139" s="51"/>
      <c r="E139" s="51"/>
      <c r="F139" s="53"/>
      <c r="G139" s="51"/>
      <c r="H139" s="51"/>
      <c r="I139" s="53"/>
      <c r="J139" s="53"/>
      <c r="K139" s="51"/>
      <c r="L139" s="68"/>
      <c r="M139" s="53"/>
      <c r="N139" s="51"/>
      <c r="O139" s="68"/>
    </row>
    <row r="140" spans="1:15" ht="13.5">
      <c r="A140" s="257"/>
      <c r="B140" s="261" t="s">
        <v>185</v>
      </c>
      <c r="C140" s="51"/>
      <c r="D140" s="51"/>
      <c r="E140" s="51"/>
      <c r="F140" s="53"/>
      <c r="G140" s="51"/>
      <c r="H140" s="51"/>
      <c r="I140" s="53"/>
      <c r="J140" s="53"/>
      <c r="K140" s="51"/>
      <c r="L140" s="68"/>
      <c r="M140" s="53"/>
      <c r="N140" s="51"/>
      <c r="O140" s="68"/>
    </row>
    <row r="141" spans="1:15" ht="13.5">
      <c r="A141" s="51">
        <v>1</v>
      </c>
      <c r="B141" s="535" t="s">
        <v>608</v>
      </c>
      <c r="C141" s="51" t="s">
        <v>1</v>
      </c>
      <c r="D141" s="51"/>
      <c r="E141" s="51"/>
      <c r="F141" s="53"/>
      <c r="G141" s="51"/>
      <c r="H141" s="51"/>
      <c r="I141" s="53"/>
      <c r="J141" s="53">
        <v>1</v>
      </c>
      <c r="K141" s="51"/>
      <c r="L141" s="53"/>
      <c r="M141" s="53">
        <v>1</v>
      </c>
      <c r="N141" s="51"/>
      <c r="O141" s="53"/>
    </row>
    <row r="142" spans="1:15" ht="13.5">
      <c r="A142" s="51">
        <v>2</v>
      </c>
      <c r="B142" s="535" t="s">
        <v>609</v>
      </c>
      <c r="C142" s="51" t="s">
        <v>1</v>
      </c>
      <c r="D142" s="51"/>
      <c r="E142" s="51"/>
      <c r="F142" s="53"/>
      <c r="G142" s="51"/>
      <c r="H142" s="51"/>
      <c r="I142" s="53"/>
      <c r="J142" s="53">
        <v>1</v>
      </c>
      <c r="K142" s="51"/>
      <c r="L142" s="53"/>
      <c r="M142" s="53">
        <v>1</v>
      </c>
      <c r="N142" s="51"/>
      <c r="O142" s="53"/>
    </row>
    <row r="143" spans="1:15" ht="13.5">
      <c r="A143" s="51">
        <v>3</v>
      </c>
      <c r="B143" s="262"/>
      <c r="C143" s="51" t="s">
        <v>1</v>
      </c>
      <c r="D143" s="51"/>
      <c r="E143" s="51"/>
      <c r="F143" s="53"/>
      <c r="G143" s="51"/>
      <c r="H143" s="51"/>
      <c r="I143" s="53"/>
      <c r="J143" s="53"/>
      <c r="K143" s="51"/>
      <c r="L143" s="53"/>
      <c r="M143" s="53">
        <f>J143-G143</f>
        <v>0</v>
      </c>
      <c r="N143" s="51"/>
      <c r="O143" s="53">
        <f>L143-I143</f>
        <v>0</v>
      </c>
    </row>
  </sheetData>
  <sheetProtection/>
  <mergeCells count="6">
    <mergeCell ref="L2:O2"/>
    <mergeCell ref="G7:I7"/>
    <mergeCell ref="J7:L7"/>
    <mergeCell ref="M7:O7"/>
    <mergeCell ref="D7:F7"/>
    <mergeCell ref="B3:D3"/>
  </mergeCells>
  <printOptions/>
  <pageMargins left="0.75" right="0.25" top="0.23" bottom="0.29" header="0.21" footer="0.19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PageLayoutView="0" workbookViewId="0" topLeftCell="A1">
      <selection activeCell="B3" sqref="B3:D3"/>
    </sheetView>
  </sheetViews>
  <sheetFormatPr defaultColWidth="9.140625" defaultRowHeight="12.75"/>
  <cols>
    <col min="1" max="1" width="4.00390625" style="4" customWidth="1"/>
    <col min="2" max="2" width="36.57421875" style="4" customWidth="1"/>
    <col min="3" max="3" width="13.8515625" style="4" customWidth="1"/>
    <col min="4" max="4" width="14.7109375" style="4" customWidth="1"/>
    <col min="5" max="5" width="13.421875" style="4" customWidth="1"/>
    <col min="6" max="6" width="13.8515625" style="4" customWidth="1"/>
    <col min="7" max="7" width="14.7109375" style="4" customWidth="1"/>
    <col min="8" max="8" width="16.421875" style="4" customWidth="1"/>
    <col min="9" max="9" width="13.8515625" style="4" customWidth="1"/>
    <col min="10" max="10" width="14.7109375" style="4" customWidth="1"/>
    <col min="11" max="11" width="13.421875" style="4" customWidth="1"/>
    <col min="12" max="12" width="13.8515625" style="4" customWidth="1"/>
    <col min="13" max="13" width="14.7109375" style="4" customWidth="1"/>
    <col min="14" max="14" width="15.57421875" style="4" customWidth="1"/>
    <col min="15" max="15" width="31.421875" style="4" customWidth="1"/>
    <col min="16" max="16384" width="9.140625" style="4" customWidth="1"/>
  </cols>
  <sheetData>
    <row r="1" spans="1:16" s="28" customFormat="1" ht="23.25" customHeight="1">
      <c r="A1" s="195"/>
      <c r="B1" s="390"/>
      <c r="C1" s="2"/>
      <c r="D1" s="2"/>
      <c r="E1" s="2"/>
      <c r="F1" s="2"/>
      <c r="G1" s="2"/>
      <c r="H1" s="2"/>
      <c r="I1" s="390"/>
      <c r="J1" s="390"/>
      <c r="K1" s="2"/>
      <c r="L1" s="2"/>
      <c r="M1" s="2"/>
      <c r="N1" s="86" t="s">
        <v>343</v>
      </c>
      <c r="O1" s="86"/>
      <c r="P1" s="27"/>
    </row>
    <row r="2" spans="1:16" s="28" customFormat="1" ht="15" customHeight="1">
      <c r="A2" s="195"/>
      <c r="B2" s="391"/>
      <c r="C2" s="392"/>
      <c r="D2" s="392"/>
      <c r="E2" s="2"/>
      <c r="F2" s="392"/>
      <c r="G2" s="392"/>
      <c r="H2" s="2"/>
      <c r="I2" s="392"/>
      <c r="J2" s="392"/>
      <c r="K2" s="2"/>
      <c r="L2" s="392"/>
      <c r="M2" s="632" t="s">
        <v>10</v>
      </c>
      <c r="N2" s="632"/>
      <c r="O2" s="326"/>
      <c r="P2" s="326"/>
    </row>
    <row r="3" spans="2:16" s="28" customFormat="1" ht="28.5" customHeight="1" thickBot="1">
      <c r="B3" s="643" t="s">
        <v>947</v>
      </c>
      <c r="C3" s="643"/>
      <c r="D3" s="643"/>
      <c r="E3" s="415"/>
      <c r="F3" s="384"/>
      <c r="G3" s="385"/>
      <c r="H3" s="415"/>
      <c r="I3" s="384"/>
      <c r="J3" s="385"/>
      <c r="K3" s="415"/>
      <c r="L3" s="384"/>
      <c r="M3" s="385"/>
      <c r="N3" s="415"/>
      <c r="O3" s="415"/>
      <c r="P3" s="27"/>
    </row>
    <row r="4" s="28" customFormat="1" ht="13.5"/>
    <row r="5" spans="1:20" s="39" customFormat="1" ht="17.25">
      <c r="A5" s="386" t="s">
        <v>54</v>
      </c>
      <c r="B5" s="387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28"/>
      <c r="Q5" s="28"/>
      <c r="R5" s="28"/>
      <c r="S5" s="28"/>
      <c r="T5" s="28"/>
    </row>
    <row r="6" spans="1:20" s="39" customFormat="1" ht="17.25">
      <c r="A6" s="421" t="s">
        <v>366</v>
      </c>
      <c r="B6" s="38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28"/>
      <c r="Q6" s="28"/>
      <c r="R6" s="28"/>
      <c r="S6" s="28"/>
      <c r="T6" s="28"/>
    </row>
    <row r="7" spans="14:15" s="28" customFormat="1" ht="13.5">
      <c r="N7" s="223" t="s">
        <v>163</v>
      </c>
      <c r="O7" s="223"/>
    </row>
    <row r="8" spans="1:15" ht="31.5" customHeight="1">
      <c r="A8" s="639" t="s">
        <v>61</v>
      </c>
      <c r="B8" s="641" t="s">
        <v>310</v>
      </c>
      <c r="C8" s="393" t="s">
        <v>367</v>
      </c>
      <c r="D8" s="394"/>
      <c r="E8" s="395"/>
      <c r="F8" s="393" t="s">
        <v>368</v>
      </c>
      <c r="G8" s="394"/>
      <c r="H8" s="395"/>
      <c r="I8" s="393" t="s">
        <v>369</v>
      </c>
      <c r="J8" s="394"/>
      <c r="K8" s="395"/>
      <c r="L8" s="396" t="s">
        <v>370</v>
      </c>
      <c r="M8" s="397"/>
      <c r="N8" s="398"/>
      <c r="O8" s="10"/>
    </row>
    <row r="9" spans="1:15" ht="67.5">
      <c r="A9" s="640"/>
      <c r="B9" s="642"/>
      <c r="C9" s="21" t="s">
        <v>337</v>
      </c>
      <c r="D9" s="21" t="s">
        <v>335</v>
      </c>
      <c r="E9" s="21" t="s">
        <v>320</v>
      </c>
      <c r="F9" s="21" t="s">
        <v>337</v>
      </c>
      <c r="G9" s="21" t="s">
        <v>336</v>
      </c>
      <c r="H9" s="21" t="s">
        <v>329</v>
      </c>
      <c r="I9" s="21" t="s">
        <v>337</v>
      </c>
      <c r="J9" s="21" t="s">
        <v>336</v>
      </c>
      <c r="K9" s="21" t="s">
        <v>330</v>
      </c>
      <c r="L9" s="21" t="s">
        <v>337</v>
      </c>
      <c r="M9" s="21" t="s">
        <v>338</v>
      </c>
      <c r="N9" s="21" t="s">
        <v>320</v>
      </c>
      <c r="O9" s="21" t="s">
        <v>331</v>
      </c>
    </row>
    <row r="10" spans="1:15" s="111" customFormat="1" ht="13.5">
      <c r="A10" s="380">
        <v>1</v>
      </c>
      <c r="B10" s="66">
        <v>2</v>
      </c>
      <c r="C10" s="70">
        <v>3</v>
      </c>
      <c r="D10" s="66">
        <v>4</v>
      </c>
      <c r="E10" s="70">
        <v>5</v>
      </c>
      <c r="F10" s="66">
        <v>6</v>
      </c>
      <c r="G10" s="70">
        <v>7</v>
      </c>
      <c r="H10" s="66">
        <v>8</v>
      </c>
      <c r="I10" s="70">
        <v>9</v>
      </c>
      <c r="J10" s="66">
        <v>10</v>
      </c>
      <c r="K10" s="70">
        <v>11</v>
      </c>
      <c r="L10" s="66">
        <v>12</v>
      </c>
      <c r="M10" s="70">
        <v>13</v>
      </c>
      <c r="N10" s="66">
        <v>14</v>
      </c>
      <c r="O10" s="66"/>
    </row>
    <row r="11" spans="1:15" s="153" customFormat="1" ht="18.75" customHeight="1">
      <c r="A11" s="161"/>
      <c r="B11" s="399" t="s">
        <v>321</v>
      </c>
      <c r="C11" s="329">
        <f>+C13+C24</f>
        <v>1255</v>
      </c>
      <c r="D11" s="329" t="s">
        <v>1</v>
      </c>
      <c r="E11" s="329">
        <f>+E13+E24</f>
        <v>204900</v>
      </c>
      <c r="F11" s="329">
        <f>+F13+F24</f>
        <v>1929</v>
      </c>
      <c r="G11" s="329" t="s">
        <v>1</v>
      </c>
      <c r="H11" s="329">
        <f>+H13+H24</f>
        <v>340040</v>
      </c>
      <c r="I11" s="329">
        <f>+I13+I24</f>
        <v>1929</v>
      </c>
      <c r="J11" s="329" t="s">
        <v>1</v>
      </c>
      <c r="K11" s="329">
        <f>+K13+K24</f>
        <v>340040</v>
      </c>
      <c r="L11" s="329">
        <f>+L13+L24</f>
        <v>0</v>
      </c>
      <c r="M11" s="329" t="s">
        <v>1</v>
      </c>
      <c r="N11" s="329">
        <f>+N13+N24</f>
        <v>0</v>
      </c>
      <c r="O11" s="329"/>
    </row>
    <row r="12" spans="1:15" ht="13.5">
      <c r="A12" s="62"/>
      <c r="B12" s="6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153" customFormat="1" ht="33">
      <c r="A13" s="389"/>
      <c r="B13" s="288" t="s">
        <v>309</v>
      </c>
      <c r="C13" s="416">
        <f>+C15+C19+C23</f>
        <v>1255</v>
      </c>
      <c r="D13" s="416" t="s">
        <v>1</v>
      </c>
      <c r="E13" s="416">
        <f>+E15+E19+E23</f>
        <v>204900</v>
      </c>
      <c r="F13" s="416">
        <f>+F15+F19+F23</f>
        <v>1929</v>
      </c>
      <c r="G13" s="416" t="s">
        <v>1</v>
      </c>
      <c r="H13" s="416">
        <f>+H15+H19+H23</f>
        <v>340040</v>
      </c>
      <c r="I13" s="416">
        <f>+I15+I19+I23</f>
        <v>1929</v>
      </c>
      <c r="J13" s="416" t="s">
        <v>1</v>
      </c>
      <c r="K13" s="416">
        <f>+K15+K19+K23</f>
        <v>340040</v>
      </c>
      <c r="L13" s="416">
        <f>+L15+L19+L23</f>
        <v>0</v>
      </c>
      <c r="M13" s="416" t="s">
        <v>1</v>
      </c>
      <c r="N13" s="416">
        <f>+N15+N19+N23</f>
        <v>0</v>
      </c>
      <c r="O13" s="329"/>
    </row>
    <row r="14" spans="1:15" ht="13.5">
      <c r="A14" s="157"/>
      <c r="B14" s="64" t="s">
        <v>62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s="153" customFormat="1" ht="16.5">
      <c r="A15" s="389">
        <v>1</v>
      </c>
      <c r="B15" s="417" t="s">
        <v>307</v>
      </c>
      <c r="C15" s="215">
        <f>SUM(C16:C18)</f>
        <v>332</v>
      </c>
      <c r="D15" s="215" t="s">
        <v>1</v>
      </c>
      <c r="E15" s="215">
        <f>SUM(E16:E18)</f>
        <v>121320</v>
      </c>
      <c r="F15" s="215">
        <f>SUM(F16:F18)</f>
        <v>629</v>
      </c>
      <c r="G15" s="215" t="s">
        <v>1</v>
      </c>
      <c r="H15" s="215">
        <f>SUM(H16:H18)</f>
        <v>220040</v>
      </c>
      <c r="I15" s="215">
        <f>SUM(I16:I18)</f>
        <v>629</v>
      </c>
      <c r="J15" s="215" t="s">
        <v>1</v>
      </c>
      <c r="K15" s="215">
        <f>SUM(K16:K18)</f>
        <v>220040</v>
      </c>
      <c r="L15" s="215">
        <f>SUM(L16:L18)</f>
        <v>0</v>
      </c>
      <c r="M15" s="215" t="s">
        <v>1</v>
      </c>
      <c r="N15" s="215">
        <f>SUM(N16:N18)</f>
        <v>0</v>
      </c>
      <c r="O15" s="215"/>
    </row>
    <row r="16" spans="1:19" ht="14.25">
      <c r="A16" s="157">
        <v>1.1</v>
      </c>
      <c r="B16" s="62" t="s">
        <v>308</v>
      </c>
      <c r="C16" s="48">
        <v>220</v>
      </c>
      <c r="D16" s="48">
        <v>320</v>
      </c>
      <c r="E16" s="52">
        <f>+C16*D16</f>
        <v>70400</v>
      </c>
      <c r="F16" s="48">
        <v>500</v>
      </c>
      <c r="G16" s="48">
        <v>320</v>
      </c>
      <c r="H16" s="52">
        <f>+F16*G16</f>
        <v>160000</v>
      </c>
      <c r="I16" s="48">
        <v>500</v>
      </c>
      <c r="J16" s="48">
        <v>320</v>
      </c>
      <c r="K16" s="52">
        <f>+I16*J16</f>
        <v>160000</v>
      </c>
      <c r="L16" s="48">
        <f aca="true" t="shared" si="0" ref="L16:M22">+I16-F16</f>
        <v>0</v>
      </c>
      <c r="M16" s="48">
        <f>+J16-G16</f>
        <v>0</v>
      </c>
      <c r="N16" s="48">
        <f>+K16-H16</f>
        <v>0</v>
      </c>
      <c r="O16" s="48"/>
      <c r="S16" s="153"/>
    </row>
    <row r="17" spans="1:19" ht="14.25">
      <c r="A17" s="157">
        <v>1.2</v>
      </c>
      <c r="B17" s="62" t="s">
        <v>539</v>
      </c>
      <c r="C17" s="48">
        <v>90</v>
      </c>
      <c r="D17" s="48">
        <v>380</v>
      </c>
      <c r="E17" s="52">
        <f>+C17*D17</f>
        <v>34200</v>
      </c>
      <c r="F17" s="48">
        <v>100</v>
      </c>
      <c r="G17" s="48">
        <v>380</v>
      </c>
      <c r="H17" s="52">
        <f>+F17*G17</f>
        <v>38000</v>
      </c>
      <c r="I17" s="48">
        <v>100</v>
      </c>
      <c r="J17" s="48">
        <v>380</v>
      </c>
      <c r="K17" s="52">
        <f>+I17*J17</f>
        <v>38000</v>
      </c>
      <c r="L17" s="48"/>
      <c r="M17" s="48"/>
      <c r="N17" s="48"/>
      <c r="O17" s="48"/>
      <c r="S17" s="153"/>
    </row>
    <row r="18" spans="1:19" ht="14.25">
      <c r="A18" s="157">
        <v>1.3</v>
      </c>
      <c r="B18" s="62" t="s">
        <v>466</v>
      </c>
      <c r="C18" s="48">
        <v>22</v>
      </c>
      <c r="D18" s="48">
        <v>760</v>
      </c>
      <c r="E18" s="52">
        <f>+C18*D18</f>
        <v>16720</v>
      </c>
      <c r="F18" s="48">
        <v>29</v>
      </c>
      <c r="G18" s="48">
        <v>760</v>
      </c>
      <c r="H18" s="52">
        <f>+F18*G18</f>
        <v>22040</v>
      </c>
      <c r="I18" s="48">
        <v>29</v>
      </c>
      <c r="J18" s="48">
        <v>760</v>
      </c>
      <c r="K18" s="52">
        <f>+I18*J18</f>
        <v>22040</v>
      </c>
      <c r="L18" s="48">
        <f t="shared" si="0"/>
        <v>0</v>
      </c>
      <c r="M18" s="48">
        <f t="shared" si="0"/>
        <v>0</v>
      </c>
      <c r="N18" s="48">
        <f>+K18-H18</f>
        <v>0</v>
      </c>
      <c r="O18" s="48"/>
      <c r="S18" s="153"/>
    </row>
    <row r="19" spans="1:15" s="153" customFormat="1" ht="16.5">
      <c r="A19" s="153">
        <v>2</v>
      </c>
      <c r="B19" s="417" t="s">
        <v>540</v>
      </c>
      <c r="C19" s="215">
        <f>SUM(C20:C22)</f>
        <v>923</v>
      </c>
      <c r="D19" s="215" t="s">
        <v>1</v>
      </c>
      <c r="E19" s="215">
        <f>SUM(E20:E22)</f>
        <v>83580</v>
      </c>
      <c r="F19" s="329">
        <f>SUM(F20:F22)</f>
        <v>1300</v>
      </c>
      <c r="G19" s="329" t="s">
        <v>1</v>
      </c>
      <c r="H19" s="215">
        <f>SUM(H20:H22)</f>
        <v>120000</v>
      </c>
      <c r="I19" s="215">
        <f>SUM(I20:I22)</f>
        <v>1300</v>
      </c>
      <c r="J19" s="215" t="s">
        <v>1</v>
      </c>
      <c r="K19" s="215">
        <f>SUM(K20:K22)</f>
        <v>120000</v>
      </c>
      <c r="L19" s="215">
        <f>SUM(L20:L22)</f>
        <v>0</v>
      </c>
      <c r="M19" s="215" t="s">
        <v>1</v>
      </c>
      <c r="N19" s="215">
        <f>SUM(N20:N22)</f>
        <v>0</v>
      </c>
      <c r="O19" s="215"/>
    </row>
    <row r="20" spans="1:15" ht="13.5">
      <c r="A20" s="157">
        <v>1.1</v>
      </c>
      <c r="B20" s="62" t="s">
        <v>308</v>
      </c>
      <c r="C20" s="48">
        <v>303</v>
      </c>
      <c r="D20" s="48">
        <v>60</v>
      </c>
      <c r="E20" s="52">
        <f>+C20*D20</f>
        <v>18180</v>
      </c>
      <c r="F20" s="48">
        <v>300</v>
      </c>
      <c r="G20" s="48">
        <v>60</v>
      </c>
      <c r="H20" s="52">
        <f>+F20*G20</f>
        <v>18000</v>
      </c>
      <c r="I20" s="48">
        <v>300</v>
      </c>
      <c r="J20" s="48">
        <v>60</v>
      </c>
      <c r="K20" s="52">
        <f>+I20*J20</f>
        <v>18000</v>
      </c>
      <c r="L20" s="48">
        <f t="shared" si="0"/>
        <v>0</v>
      </c>
      <c r="M20" s="48">
        <f t="shared" si="0"/>
        <v>0</v>
      </c>
      <c r="N20" s="48">
        <f>+K20-H20</f>
        <v>0</v>
      </c>
      <c r="O20" s="48"/>
    </row>
    <row r="21" spans="1:15" ht="13.5">
      <c r="A21" s="157">
        <v>1.2</v>
      </c>
      <c r="B21" s="62" t="s">
        <v>539</v>
      </c>
      <c r="C21" s="48">
        <v>300</v>
      </c>
      <c r="D21" s="48">
        <v>90</v>
      </c>
      <c r="E21" s="52">
        <f>+C21*D21</f>
        <v>27000</v>
      </c>
      <c r="F21" s="48">
        <v>600</v>
      </c>
      <c r="G21" s="48">
        <v>90</v>
      </c>
      <c r="H21" s="52">
        <f>+F21*G21</f>
        <v>54000</v>
      </c>
      <c r="I21" s="48">
        <v>600</v>
      </c>
      <c r="J21" s="48">
        <v>90</v>
      </c>
      <c r="K21" s="52">
        <f>+I21*J21</f>
        <v>54000</v>
      </c>
      <c r="L21" s="48"/>
      <c r="M21" s="48"/>
      <c r="N21" s="48"/>
      <c r="O21" s="48"/>
    </row>
    <row r="22" spans="1:15" ht="13.5">
      <c r="A22" s="157">
        <v>1.3</v>
      </c>
      <c r="B22" s="62" t="s">
        <v>466</v>
      </c>
      <c r="C22" s="48">
        <v>320</v>
      </c>
      <c r="D22" s="48">
        <v>120</v>
      </c>
      <c r="E22" s="52">
        <f>+C22*D22</f>
        <v>38400</v>
      </c>
      <c r="F22" s="48">
        <v>400</v>
      </c>
      <c r="G22" s="48">
        <v>120</v>
      </c>
      <c r="H22" s="52">
        <f>+F22*G22</f>
        <v>48000</v>
      </c>
      <c r="I22" s="48">
        <v>400</v>
      </c>
      <c r="J22" s="48">
        <v>120</v>
      </c>
      <c r="K22" s="52">
        <f>+I22*J22</f>
        <v>48000</v>
      </c>
      <c r="L22" s="48">
        <f t="shared" si="0"/>
        <v>0</v>
      </c>
      <c r="M22" s="48">
        <f t="shared" si="0"/>
        <v>0</v>
      </c>
      <c r="N22" s="48">
        <f>+K22-H22</f>
        <v>0</v>
      </c>
      <c r="O22" s="48"/>
    </row>
    <row r="23" spans="1:15" ht="16.5">
      <c r="A23" s="518">
        <v>3</v>
      </c>
      <c r="B23" s="519" t="s">
        <v>334</v>
      </c>
      <c r="C23" s="215"/>
      <c r="D23" s="215"/>
      <c r="E23" s="418">
        <f>+C23*D23</f>
        <v>0</v>
      </c>
      <c r="F23" s="215"/>
      <c r="G23" s="215"/>
      <c r="H23" s="418">
        <f>+F23*G23</f>
        <v>0</v>
      </c>
      <c r="I23" s="215"/>
      <c r="J23" s="215"/>
      <c r="K23" s="418">
        <f>+I23*J23</f>
        <v>0</v>
      </c>
      <c r="L23" s="215">
        <f>+I23-F23</f>
        <v>0</v>
      </c>
      <c r="M23" s="215">
        <f>+J23-G23</f>
        <v>0</v>
      </c>
      <c r="N23" s="215">
        <f>+K23-H23</f>
        <v>0</v>
      </c>
      <c r="O23" s="215"/>
    </row>
    <row r="24" spans="1:15" s="153" customFormat="1" ht="33">
      <c r="A24" s="389"/>
      <c r="B24" s="288" t="s">
        <v>311</v>
      </c>
      <c r="C24" s="329">
        <f>SUM(C26:C27)</f>
        <v>0</v>
      </c>
      <c r="D24" s="329" t="s">
        <v>1</v>
      </c>
      <c r="E24" s="329">
        <f>SUM(E26:E27)</f>
        <v>0</v>
      </c>
      <c r="F24" s="329">
        <f aca="true" t="shared" si="1" ref="F24:N24">SUM(F26:F27)</f>
        <v>0</v>
      </c>
      <c r="G24" s="329" t="s">
        <v>1</v>
      </c>
      <c r="H24" s="329">
        <f t="shared" si="1"/>
        <v>0</v>
      </c>
      <c r="I24" s="329">
        <f t="shared" si="1"/>
        <v>0</v>
      </c>
      <c r="J24" s="329" t="s">
        <v>1</v>
      </c>
      <c r="K24" s="329">
        <f t="shared" si="1"/>
        <v>0</v>
      </c>
      <c r="L24" s="329">
        <f t="shared" si="1"/>
        <v>0</v>
      </c>
      <c r="M24" s="329" t="s">
        <v>1</v>
      </c>
      <c r="N24" s="329">
        <f t="shared" si="1"/>
        <v>0</v>
      </c>
      <c r="O24" s="329"/>
    </row>
    <row r="25" spans="1:15" ht="13.5">
      <c r="A25" s="62"/>
      <c r="B25" s="400" t="s">
        <v>314</v>
      </c>
      <c r="C25" s="48"/>
      <c r="D25" s="48"/>
      <c r="E25" s="52"/>
      <c r="F25" s="48"/>
      <c r="G25" s="48"/>
      <c r="H25" s="52"/>
      <c r="I25" s="48"/>
      <c r="J25" s="48"/>
      <c r="K25" s="52"/>
      <c r="L25" s="48"/>
      <c r="M25" s="48"/>
      <c r="N25" s="52"/>
      <c r="O25" s="52"/>
    </row>
    <row r="26" spans="1:15" ht="13.5">
      <c r="A26" s="62" t="s">
        <v>312</v>
      </c>
      <c r="B26" s="62" t="s">
        <v>313</v>
      </c>
      <c r="C26" s="48"/>
      <c r="D26" s="48"/>
      <c r="E26" s="52"/>
      <c r="F26" s="48"/>
      <c r="G26" s="48"/>
      <c r="H26" s="52"/>
      <c r="I26" s="48"/>
      <c r="J26" s="48"/>
      <c r="K26" s="52"/>
      <c r="L26" s="48"/>
      <c r="M26" s="48"/>
      <c r="N26" s="52"/>
      <c r="O26" s="52"/>
    </row>
    <row r="27" spans="1:15" ht="13.5">
      <c r="A27" s="62"/>
      <c r="B27" s="62"/>
      <c r="C27" s="48"/>
      <c r="D27" s="48"/>
      <c r="E27" s="52"/>
      <c r="F27" s="48"/>
      <c r="G27" s="48"/>
      <c r="H27" s="52"/>
      <c r="I27" s="48"/>
      <c r="J27" s="48"/>
      <c r="K27" s="52"/>
      <c r="L27" s="48"/>
      <c r="M27" s="48"/>
      <c r="N27" s="52"/>
      <c r="O27" s="52"/>
    </row>
    <row r="29" spans="1:2" ht="13.5">
      <c r="A29" s="4" t="s">
        <v>7</v>
      </c>
      <c r="B29" s="403" t="s">
        <v>339</v>
      </c>
    </row>
  </sheetData>
  <sheetProtection/>
  <mergeCells count="4">
    <mergeCell ref="A8:A9"/>
    <mergeCell ref="B8:B9"/>
    <mergeCell ref="M2:N2"/>
    <mergeCell ref="B3:D3"/>
  </mergeCells>
  <printOptions/>
  <pageMargins left="0.25" right="0.33" top="0.7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5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6.28125" style="4" customWidth="1"/>
    <col min="2" max="2" width="4.28125" style="3" customWidth="1"/>
    <col min="3" max="3" width="47.421875" style="59" customWidth="1"/>
    <col min="4" max="4" width="11.140625" style="56" customWidth="1"/>
    <col min="5" max="5" width="18.7109375" style="56" customWidth="1"/>
    <col min="6" max="6" width="20.00390625" style="56" customWidth="1"/>
    <col min="7" max="7" width="17.57421875" style="56" customWidth="1"/>
    <col min="8" max="8" width="20.00390625" style="56" customWidth="1"/>
    <col min="9" max="9" width="15.7109375" style="3" customWidth="1"/>
    <col min="10" max="10" width="16.140625" style="4" customWidth="1"/>
    <col min="11" max="11" width="13.421875" style="4" customWidth="1"/>
    <col min="12" max="12" width="14.00390625" style="3" customWidth="1"/>
    <col min="13" max="13" width="17.7109375" style="3" customWidth="1"/>
    <col min="14" max="14" width="14.00390625" style="4" bestFit="1" customWidth="1"/>
    <col min="15" max="16384" width="9.140625" style="4" customWidth="1"/>
  </cols>
  <sheetData>
    <row r="1" spans="2:11" s="28" customFormat="1" ht="12.75">
      <c r="B1" s="186"/>
      <c r="C1" s="414"/>
      <c r="D1" s="170"/>
      <c r="E1" s="170"/>
      <c r="F1" s="170"/>
      <c r="G1" s="170"/>
      <c r="J1" s="39"/>
      <c r="K1" s="39"/>
    </row>
    <row r="2" spans="2:11" s="196" customFormat="1" ht="12.75">
      <c r="B2" s="195"/>
      <c r="C2" s="623"/>
      <c r="D2" s="623"/>
      <c r="E2" s="623"/>
      <c r="F2" s="623"/>
      <c r="G2" s="623"/>
      <c r="H2" s="442" t="s">
        <v>176</v>
      </c>
      <c r="J2" s="39"/>
      <c r="K2" s="39"/>
    </row>
    <row r="3" spans="2:11" s="196" customFormat="1" ht="18" customHeight="1" thickBot="1">
      <c r="B3" s="28"/>
      <c r="C3" s="643" t="s">
        <v>947</v>
      </c>
      <c r="D3" s="643"/>
      <c r="E3" s="643"/>
      <c r="F3" s="385"/>
      <c r="G3" s="6"/>
      <c r="H3" s="326" t="s">
        <v>10</v>
      </c>
      <c r="I3" s="326"/>
      <c r="J3" s="39"/>
      <c r="K3" s="39"/>
    </row>
    <row r="4" spans="2:13" s="39" customFormat="1" ht="31.5" customHeight="1">
      <c r="B4" s="657" t="s">
        <v>54</v>
      </c>
      <c r="C4" s="657"/>
      <c r="D4" s="657"/>
      <c r="E4" s="657"/>
      <c r="F4" s="657"/>
      <c r="G4" s="657"/>
      <c r="H4" s="657"/>
      <c r="L4" s="36"/>
      <c r="M4" s="36"/>
    </row>
    <row r="5" spans="2:13" s="39" customFormat="1" ht="16.5" customHeight="1">
      <c r="B5" s="658" t="s">
        <v>406</v>
      </c>
      <c r="C5" s="658"/>
      <c r="D5" s="658"/>
      <c r="E5" s="658"/>
      <c r="F5" s="658"/>
      <c r="G5" s="658"/>
      <c r="H5" s="658"/>
      <c r="L5" s="36"/>
      <c r="M5" s="36"/>
    </row>
    <row r="6" spans="2:13" s="39" customFormat="1" ht="59.25" customHeight="1">
      <c r="B6" s="420"/>
      <c r="C6" s="528" t="s">
        <v>468</v>
      </c>
      <c r="D6" s="528"/>
      <c r="E6" s="528"/>
      <c r="F6" s="528"/>
      <c r="G6" s="528"/>
      <c r="H6" s="528"/>
      <c r="L6" s="36"/>
      <c r="M6" s="36"/>
    </row>
    <row r="7" spans="2:13" s="12" customFormat="1" ht="12">
      <c r="B7" s="36"/>
      <c r="C7" s="38"/>
      <c r="D7" s="38"/>
      <c r="E7" s="38"/>
      <c r="F7" s="38"/>
      <c r="G7" s="38"/>
      <c r="H7" s="38"/>
      <c r="I7" s="39"/>
      <c r="J7" s="39"/>
      <c r="K7" s="39"/>
      <c r="L7" s="36"/>
      <c r="M7" s="36"/>
    </row>
    <row r="8" spans="2:13" ht="12.75">
      <c r="B8" s="451"/>
      <c r="C8" s="452"/>
      <c r="D8" s="452"/>
      <c r="E8" s="453"/>
      <c r="F8" s="453"/>
      <c r="G8" s="453"/>
      <c r="H8" s="454"/>
      <c r="I8" s="4"/>
      <c r="L8" s="4"/>
      <c r="M8" s="4"/>
    </row>
    <row r="9" spans="2:13" ht="34.5" customHeight="1">
      <c r="B9" s="450"/>
      <c r="C9" s="472" t="s">
        <v>393</v>
      </c>
      <c r="D9" s="473"/>
      <c r="E9" s="455"/>
      <c r="F9" s="456"/>
      <c r="G9" s="456"/>
      <c r="H9" s="457"/>
      <c r="I9" s="4"/>
      <c r="L9" s="4"/>
      <c r="M9" s="4"/>
    </row>
    <row r="10" spans="2:13" ht="34.5" customHeight="1">
      <c r="B10" s="46"/>
      <c r="C10" s="474" t="s">
        <v>394</v>
      </c>
      <c r="D10" s="475"/>
      <c r="E10" s="458"/>
      <c r="F10" s="459"/>
      <c r="G10" s="459"/>
      <c r="H10" s="460"/>
      <c r="I10" s="4"/>
      <c r="L10" s="4"/>
      <c r="M10" s="4"/>
    </row>
    <row r="11" spans="2:13" ht="34.5" customHeight="1">
      <c r="B11" s="650" t="s">
        <v>247</v>
      </c>
      <c r="C11" s="652" t="s">
        <v>376</v>
      </c>
      <c r="D11" s="468"/>
      <c r="E11" s="654" t="s">
        <v>400</v>
      </c>
      <c r="F11" s="655"/>
      <c r="G11" s="655"/>
      <c r="H11" s="656"/>
      <c r="I11" s="4"/>
      <c r="L11" s="4"/>
      <c r="M11" s="4"/>
    </row>
    <row r="12" spans="2:13" ht="60">
      <c r="B12" s="651"/>
      <c r="C12" s="653"/>
      <c r="D12" s="469" t="s">
        <v>469</v>
      </c>
      <c r="E12" s="470" t="s">
        <v>315</v>
      </c>
      <c r="F12" s="470" t="s">
        <v>316</v>
      </c>
      <c r="G12" s="470" t="s">
        <v>389</v>
      </c>
      <c r="H12" s="471" t="s">
        <v>390</v>
      </c>
      <c r="I12" s="4"/>
      <c r="L12" s="4"/>
      <c r="M12" s="4"/>
    </row>
    <row r="13" spans="2:13" ht="21.75" customHeight="1">
      <c r="B13" s="46">
        <v>1</v>
      </c>
      <c r="C13" s="47" t="s">
        <v>221</v>
      </c>
      <c r="D13" s="9">
        <v>1</v>
      </c>
      <c r="E13" s="404">
        <v>20000</v>
      </c>
      <c r="F13" s="404">
        <v>10000</v>
      </c>
      <c r="G13" s="461">
        <f>+(F13+E13)*D13*12</f>
        <v>360000</v>
      </c>
      <c r="H13" s="404">
        <f>+G13*1.2</f>
        <v>432000</v>
      </c>
      <c r="I13" s="4"/>
      <c r="L13" s="4"/>
      <c r="M13" s="4"/>
    </row>
    <row r="14" spans="2:13" ht="24">
      <c r="B14" s="46">
        <v>2</v>
      </c>
      <c r="C14" s="47" t="s">
        <v>377</v>
      </c>
      <c r="D14" s="9">
        <v>2</v>
      </c>
      <c r="E14" s="404">
        <v>5000</v>
      </c>
      <c r="F14" s="404">
        <v>5000</v>
      </c>
      <c r="G14" s="461">
        <f aca="true" t="shared" si="0" ref="G14:G27">+(F14+E14)*D14*12</f>
        <v>240000</v>
      </c>
      <c r="H14" s="404">
        <f aca="true" t="shared" si="1" ref="H14:H27">+G14*1.2</f>
        <v>288000</v>
      </c>
      <c r="I14" s="4"/>
      <c r="L14" s="4"/>
      <c r="M14" s="4"/>
    </row>
    <row r="15" spans="2:13" ht="12.75">
      <c r="B15" s="46">
        <v>3</v>
      </c>
      <c r="C15" s="47" t="s">
        <v>56</v>
      </c>
      <c r="D15" s="9">
        <v>3</v>
      </c>
      <c r="E15" s="404">
        <v>2000</v>
      </c>
      <c r="F15" s="404"/>
      <c r="G15" s="461">
        <f t="shared" si="0"/>
        <v>72000</v>
      </c>
      <c r="H15" s="404">
        <f t="shared" si="1"/>
        <v>86400</v>
      </c>
      <c r="I15" s="4"/>
      <c r="L15" s="4"/>
      <c r="M15" s="4"/>
    </row>
    <row r="16" spans="2:13" ht="12.75">
      <c r="B16" s="46">
        <v>4</v>
      </c>
      <c r="C16" s="47" t="s">
        <v>57</v>
      </c>
      <c r="D16" s="9">
        <v>2</v>
      </c>
      <c r="E16" s="404">
        <v>2000</v>
      </c>
      <c r="F16" s="404"/>
      <c r="G16" s="461">
        <f t="shared" si="0"/>
        <v>48000</v>
      </c>
      <c r="H16" s="404">
        <f t="shared" si="1"/>
        <v>57600</v>
      </c>
      <c r="I16" s="4"/>
      <c r="L16" s="4"/>
      <c r="M16" s="4"/>
    </row>
    <row r="17" spans="2:13" ht="12.75">
      <c r="B17" s="46">
        <v>5</v>
      </c>
      <c r="C17" s="47" t="s">
        <v>58</v>
      </c>
      <c r="D17" s="9"/>
      <c r="E17" s="404">
        <v>2000</v>
      </c>
      <c r="F17" s="404"/>
      <c r="G17" s="461">
        <f t="shared" si="0"/>
        <v>0</v>
      </c>
      <c r="H17" s="404">
        <f t="shared" si="1"/>
        <v>0</v>
      </c>
      <c r="I17" s="4"/>
      <c r="L17" s="4"/>
      <c r="M17" s="4"/>
    </row>
    <row r="18" spans="2:13" ht="24">
      <c r="B18" s="46">
        <v>6</v>
      </c>
      <c r="C18" s="47" t="s">
        <v>378</v>
      </c>
      <c r="D18" s="9">
        <v>1</v>
      </c>
      <c r="E18" s="404">
        <v>5000</v>
      </c>
      <c r="F18" s="404">
        <v>5000</v>
      </c>
      <c r="G18" s="461">
        <f t="shared" si="0"/>
        <v>120000</v>
      </c>
      <c r="H18" s="404">
        <f t="shared" si="1"/>
        <v>144000</v>
      </c>
      <c r="I18" s="4"/>
      <c r="L18" s="4"/>
      <c r="M18" s="4"/>
    </row>
    <row r="19" spans="2:13" ht="24">
      <c r="B19" s="46">
        <v>7</v>
      </c>
      <c r="C19" s="47" t="s">
        <v>379</v>
      </c>
      <c r="D19" s="9"/>
      <c r="E19" s="404">
        <v>2000</v>
      </c>
      <c r="F19" s="404"/>
      <c r="G19" s="461">
        <f t="shared" si="0"/>
        <v>0</v>
      </c>
      <c r="H19" s="404">
        <f t="shared" si="1"/>
        <v>0</v>
      </c>
      <c r="I19" s="4"/>
      <c r="L19" s="4"/>
      <c r="M19" s="4"/>
    </row>
    <row r="20" spans="2:13" ht="12.75">
      <c r="B20" s="46">
        <v>8</v>
      </c>
      <c r="C20" s="47" t="s">
        <v>318</v>
      </c>
      <c r="D20" s="9"/>
      <c r="E20" s="404">
        <v>3000</v>
      </c>
      <c r="F20" s="404">
        <v>2000</v>
      </c>
      <c r="G20" s="461">
        <f t="shared" si="0"/>
        <v>0</v>
      </c>
      <c r="H20" s="404">
        <f t="shared" si="1"/>
        <v>0</v>
      </c>
      <c r="I20" s="4"/>
      <c r="L20" s="4"/>
      <c r="M20" s="4"/>
    </row>
    <row r="21" spans="2:13" ht="24">
      <c r="B21" s="46">
        <v>9</v>
      </c>
      <c r="C21" s="47" t="s">
        <v>380</v>
      </c>
      <c r="D21" s="9"/>
      <c r="E21" s="404">
        <v>3000</v>
      </c>
      <c r="F21" s="404"/>
      <c r="G21" s="461">
        <f t="shared" si="0"/>
        <v>0</v>
      </c>
      <c r="H21" s="404">
        <f t="shared" si="1"/>
        <v>0</v>
      </c>
      <c r="I21" s="4"/>
      <c r="L21" s="4"/>
      <c r="M21" s="4"/>
    </row>
    <row r="22" spans="2:13" ht="24" customHeight="1">
      <c r="B22" s="46">
        <v>10</v>
      </c>
      <c r="C22" s="47" t="s">
        <v>319</v>
      </c>
      <c r="D22" s="9"/>
      <c r="E22" s="404">
        <v>3000</v>
      </c>
      <c r="F22" s="404"/>
      <c r="G22" s="461">
        <f t="shared" si="0"/>
        <v>0</v>
      </c>
      <c r="H22" s="404">
        <f t="shared" si="1"/>
        <v>0</v>
      </c>
      <c r="I22" s="4"/>
      <c r="L22" s="4"/>
      <c r="M22" s="4"/>
    </row>
    <row r="23" spans="2:13" ht="32.25" customHeight="1">
      <c r="B23" s="46">
        <v>11</v>
      </c>
      <c r="C23" s="47" t="s">
        <v>381</v>
      </c>
      <c r="D23" s="9"/>
      <c r="E23" s="404">
        <v>3000</v>
      </c>
      <c r="F23" s="404"/>
      <c r="G23" s="461">
        <f t="shared" si="0"/>
        <v>0</v>
      </c>
      <c r="H23" s="404">
        <f t="shared" si="1"/>
        <v>0</v>
      </c>
      <c r="I23" s="4"/>
      <c r="L23" s="4"/>
      <c r="M23" s="4"/>
    </row>
    <row r="24" spans="2:13" ht="48">
      <c r="B24" s="46">
        <v>12</v>
      </c>
      <c r="C24" s="443" t="s">
        <v>403</v>
      </c>
      <c r="D24" s="476">
        <v>10</v>
      </c>
      <c r="E24" s="404">
        <v>5000</v>
      </c>
      <c r="F24" s="404"/>
      <c r="G24" s="461">
        <f t="shared" si="0"/>
        <v>600000</v>
      </c>
      <c r="H24" s="404">
        <f t="shared" si="1"/>
        <v>720000</v>
      </c>
      <c r="I24" s="4"/>
      <c r="L24" s="4"/>
      <c r="M24" s="4"/>
    </row>
    <row r="25" spans="2:13" ht="48">
      <c r="B25" s="46">
        <v>13</v>
      </c>
      <c r="C25" s="462" t="s">
        <v>383</v>
      </c>
      <c r="D25" s="9">
        <v>9</v>
      </c>
      <c r="E25" s="404">
        <v>3000</v>
      </c>
      <c r="F25" s="404"/>
      <c r="G25" s="461">
        <f t="shared" si="0"/>
        <v>324000</v>
      </c>
      <c r="H25" s="404">
        <f t="shared" si="1"/>
        <v>388800</v>
      </c>
      <c r="I25" s="4"/>
      <c r="L25" s="4"/>
      <c r="M25" s="4"/>
    </row>
    <row r="26" spans="2:13" ht="36">
      <c r="B26" s="46">
        <v>14</v>
      </c>
      <c r="C26" s="47" t="s">
        <v>386</v>
      </c>
      <c r="D26" s="9"/>
      <c r="E26" s="404">
        <v>5000</v>
      </c>
      <c r="F26" s="404">
        <v>5000</v>
      </c>
      <c r="G26" s="461">
        <f t="shared" si="0"/>
        <v>0</v>
      </c>
      <c r="H26" s="404">
        <f t="shared" si="1"/>
        <v>0</v>
      </c>
      <c r="I26" s="4"/>
      <c r="L26" s="4"/>
      <c r="M26" s="4"/>
    </row>
    <row r="27" spans="2:13" ht="24">
      <c r="B27" s="46">
        <v>15</v>
      </c>
      <c r="C27" s="47" t="s">
        <v>382</v>
      </c>
      <c r="D27" s="9">
        <v>1</v>
      </c>
      <c r="E27" s="404">
        <v>5000</v>
      </c>
      <c r="F27" s="404"/>
      <c r="G27" s="461">
        <f t="shared" si="0"/>
        <v>60000</v>
      </c>
      <c r="H27" s="404">
        <f t="shared" si="1"/>
        <v>72000</v>
      </c>
      <c r="I27" s="4"/>
      <c r="L27" s="4"/>
      <c r="M27" s="4"/>
    </row>
    <row r="28" spans="2:13" ht="42.75">
      <c r="B28" s="298"/>
      <c r="C28" s="521" t="s">
        <v>388</v>
      </c>
      <c r="D28" s="477" t="s">
        <v>1</v>
      </c>
      <c r="E28" s="522" t="s">
        <v>1</v>
      </c>
      <c r="F28" s="522" t="s">
        <v>1</v>
      </c>
      <c r="G28" s="522" t="s">
        <v>1</v>
      </c>
      <c r="H28" s="449">
        <f>SUM(H8:H27)</f>
        <v>2188800</v>
      </c>
      <c r="I28" s="4"/>
      <c r="L28" s="4"/>
      <c r="M28" s="4"/>
    </row>
    <row r="29" spans="2:13" ht="12.75">
      <c r="B29" s="4"/>
      <c r="C29" s="4"/>
      <c r="D29" s="4"/>
      <c r="E29" s="4"/>
      <c r="F29" s="4"/>
      <c r="G29" s="4"/>
      <c r="H29" s="4"/>
      <c r="I29" s="4"/>
      <c r="L29" s="4"/>
      <c r="M29" s="4"/>
    </row>
    <row r="30" spans="2:13" ht="24">
      <c r="B30" s="646" t="s">
        <v>387</v>
      </c>
      <c r="C30" s="648" t="s">
        <v>55</v>
      </c>
      <c r="D30" s="644" t="s">
        <v>472</v>
      </c>
      <c r="E30" s="465" t="s">
        <v>474</v>
      </c>
      <c r="F30" s="466"/>
      <c r="G30" s="465" t="s">
        <v>475</v>
      </c>
      <c r="H30" s="466"/>
      <c r="I30" s="4"/>
      <c r="L30" s="4"/>
      <c r="M30" s="4"/>
    </row>
    <row r="31" spans="2:13" ht="26.25" customHeight="1">
      <c r="B31" s="647"/>
      <c r="C31" s="649"/>
      <c r="D31" s="645"/>
      <c r="E31" s="467" t="s">
        <v>391</v>
      </c>
      <c r="F31" s="467" t="s">
        <v>385</v>
      </c>
      <c r="G31" s="467" t="s">
        <v>391</v>
      </c>
      <c r="H31" s="467" t="s">
        <v>384</v>
      </c>
      <c r="I31" s="4"/>
      <c r="L31" s="4"/>
      <c r="M31" s="4"/>
    </row>
    <row r="32" spans="2:13" ht="12.75">
      <c r="B32" s="445">
        <v>1</v>
      </c>
      <c r="C32" s="445">
        <v>2</v>
      </c>
      <c r="D32" s="445">
        <v>3</v>
      </c>
      <c r="E32" s="445">
        <v>4</v>
      </c>
      <c r="F32" s="445">
        <v>5</v>
      </c>
      <c r="G32" s="445">
        <v>6</v>
      </c>
      <c r="H32" s="445">
        <v>7</v>
      </c>
      <c r="I32" s="4"/>
      <c r="L32" s="4"/>
      <c r="M32" s="4"/>
    </row>
    <row r="33" spans="2:13" ht="42" customHeight="1">
      <c r="B33" s="46"/>
      <c r="C33" s="82" t="s">
        <v>402</v>
      </c>
      <c r="D33" s="9">
        <v>4000</v>
      </c>
      <c r="E33" s="46" t="s">
        <v>1</v>
      </c>
      <c r="F33" s="446"/>
      <c r="G33" s="46" t="s">
        <v>1</v>
      </c>
      <c r="H33" s="446"/>
      <c r="I33" s="4"/>
      <c r="L33" s="4"/>
      <c r="M33" s="4"/>
    </row>
    <row r="34" spans="2:13" ht="38.25">
      <c r="B34" s="46"/>
      <c r="C34" s="17" t="s">
        <v>467</v>
      </c>
      <c r="D34" s="531">
        <f>SUM(D36:D38)</f>
        <v>15.25</v>
      </c>
      <c r="E34" s="533">
        <v>30</v>
      </c>
      <c r="F34" s="461">
        <v>48000</v>
      </c>
      <c r="G34" s="533"/>
      <c r="H34" s="520">
        <f>G34*$H$33</f>
        <v>0</v>
      </c>
      <c r="I34" s="4"/>
      <c r="L34" s="4"/>
      <c r="M34" s="4"/>
    </row>
    <row r="35" spans="2:13" ht="18" customHeight="1">
      <c r="B35" s="46"/>
      <c r="C35" s="448" t="s">
        <v>392</v>
      </c>
      <c r="D35" s="447"/>
      <c r="E35" s="9"/>
      <c r="F35" s="9"/>
      <c r="G35" s="9"/>
      <c r="H35" s="9"/>
      <c r="I35" s="4"/>
      <c r="L35" s="4"/>
      <c r="M35" s="4"/>
    </row>
    <row r="36" spans="2:13" ht="51.75" customHeight="1">
      <c r="B36" s="46">
        <v>1</v>
      </c>
      <c r="C36" s="47" t="s">
        <v>470</v>
      </c>
      <c r="D36" s="530">
        <f>SUM(D13:D21)+D24</f>
        <v>19</v>
      </c>
      <c r="E36" s="9" t="s">
        <v>1</v>
      </c>
      <c r="F36" s="9" t="s">
        <v>1</v>
      </c>
      <c r="G36" s="9" t="s">
        <v>1</v>
      </c>
      <c r="H36" s="9" t="s">
        <v>1</v>
      </c>
      <c r="I36" s="4"/>
      <c r="L36" s="4"/>
      <c r="M36" s="4"/>
    </row>
    <row r="37" spans="2:13" ht="45.75" customHeight="1">
      <c r="B37" s="46">
        <v>2</v>
      </c>
      <c r="C37" s="47" t="s">
        <v>401</v>
      </c>
      <c r="D37" s="54">
        <f>+(D9-D10-D36)/4</f>
        <v>-4.75</v>
      </c>
      <c r="E37" s="9" t="s">
        <v>1</v>
      </c>
      <c r="F37" s="9" t="s">
        <v>1</v>
      </c>
      <c r="G37" s="9" t="s">
        <v>1</v>
      </c>
      <c r="H37" s="9" t="s">
        <v>1</v>
      </c>
      <c r="I37" s="4"/>
      <c r="L37" s="4"/>
      <c r="M37" s="4"/>
    </row>
    <row r="38" spans="2:14" ht="30.75" customHeight="1">
      <c r="B38" s="46">
        <v>3</v>
      </c>
      <c r="C38" s="47" t="s">
        <v>404</v>
      </c>
      <c r="D38" s="444">
        <v>1</v>
      </c>
      <c r="E38" s="9" t="s">
        <v>1</v>
      </c>
      <c r="F38" s="9" t="s">
        <v>1</v>
      </c>
      <c r="G38" s="9" t="s">
        <v>1</v>
      </c>
      <c r="H38" s="9" t="s">
        <v>1</v>
      </c>
      <c r="I38" s="4"/>
      <c r="L38" s="4"/>
      <c r="M38" s="4"/>
      <c r="N38" s="402"/>
    </row>
    <row r="39" spans="2:14" ht="38.25" customHeight="1">
      <c r="B39" s="298"/>
      <c r="C39" s="521" t="s">
        <v>395</v>
      </c>
      <c r="D39" s="477" t="s">
        <v>1</v>
      </c>
      <c r="E39" s="522" t="s">
        <v>1</v>
      </c>
      <c r="F39" s="522" t="s">
        <v>1</v>
      </c>
      <c r="G39" s="522" t="s">
        <v>1</v>
      </c>
      <c r="H39" s="449">
        <f>+(F34+H34)*12*1.2</f>
        <v>691200</v>
      </c>
      <c r="I39" s="4"/>
      <c r="L39" s="4"/>
      <c r="M39" s="4"/>
      <c r="N39" s="402"/>
    </row>
    <row r="40" spans="2:13" ht="13.5">
      <c r="B40" s="4"/>
      <c r="C40" s="4"/>
      <c r="D40" s="4"/>
      <c r="E40" s="4"/>
      <c r="F40" s="4"/>
      <c r="G40" s="4"/>
      <c r="H40" s="4"/>
      <c r="I40" s="4"/>
      <c r="L40" s="4"/>
      <c r="M40" s="4"/>
    </row>
    <row r="41" spans="2:14" ht="63" customHeight="1">
      <c r="B41" s="526" t="s">
        <v>396</v>
      </c>
      <c r="C41" s="527" t="s">
        <v>398</v>
      </c>
      <c r="D41" s="477" t="s">
        <v>1</v>
      </c>
      <c r="E41" s="477" t="s">
        <v>1</v>
      </c>
      <c r="F41" s="477" t="s">
        <v>1</v>
      </c>
      <c r="G41" s="477" t="s">
        <v>1</v>
      </c>
      <c r="H41" s="449">
        <f>+D34*1000*12</f>
        <v>183000</v>
      </c>
      <c r="I41" s="4"/>
      <c r="L41" s="4"/>
      <c r="M41" s="4"/>
      <c r="N41" s="402"/>
    </row>
    <row r="42" spans="2:13" ht="13.5">
      <c r="B42" s="4"/>
      <c r="C42" s="4"/>
      <c r="D42" s="4"/>
      <c r="E42" s="4"/>
      <c r="F42" s="4"/>
      <c r="G42" s="4"/>
      <c r="H42" s="4"/>
      <c r="I42" s="4"/>
      <c r="L42" s="4"/>
      <c r="M42" s="4"/>
    </row>
    <row r="43" spans="2:13" ht="33">
      <c r="B43" s="464" t="s">
        <v>397</v>
      </c>
      <c r="C43" s="463" t="s">
        <v>399</v>
      </c>
      <c r="D43" s="477" t="s">
        <v>1</v>
      </c>
      <c r="E43" s="477" t="s">
        <v>1</v>
      </c>
      <c r="F43" s="477" t="s">
        <v>1</v>
      </c>
      <c r="G43" s="477" t="s">
        <v>1</v>
      </c>
      <c r="H43" s="449">
        <f>SUM(H45:H48)</f>
        <v>340040</v>
      </c>
      <c r="I43" s="4"/>
      <c r="L43" s="4"/>
      <c r="M43" s="4"/>
    </row>
    <row r="44" spans="2:13" ht="13.5" customHeight="1">
      <c r="B44" s="9"/>
      <c r="C44" s="9"/>
      <c r="D44" s="9"/>
      <c r="E44" s="9"/>
      <c r="F44" s="9"/>
      <c r="G44" s="9"/>
      <c r="H44" s="404"/>
      <c r="I44" s="4"/>
      <c r="L44" s="4"/>
      <c r="M44" s="4"/>
    </row>
    <row r="45" spans="2:13" ht="13.5">
      <c r="B45" s="46">
        <v>1</v>
      </c>
      <c r="C45" s="55" t="s">
        <v>317</v>
      </c>
      <c r="D45" s="9" t="s">
        <v>1</v>
      </c>
      <c r="E45" s="9" t="s">
        <v>1</v>
      </c>
      <c r="F45" s="9" t="s">
        <v>1</v>
      </c>
      <c r="G45" s="9" t="s">
        <v>1</v>
      </c>
      <c r="H45" s="404">
        <f>'4-փոստային կապ'!K11</f>
        <v>340040</v>
      </c>
      <c r="I45" s="4"/>
      <c r="L45" s="4"/>
      <c r="M45" s="4"/>
    </row>
    <row r="46" spans="2:13" ht="13.5">
      <c r="B46" s="46">
        <v>2</v>
      </c>
      <c r="C46" s="55" t="s">
        <v>64</v>
      </c>
      <c r="D46" s="9" t="s">
        <v>1</v>
      </c>
      <c r="E46" s="9" t="s">
        <v>1</v>
      </c>
      <c r="F46" s="9" t="s">
        <v>1</v>
      </c>
      <c r="G46" s="9" t="s">
        <v>1</v>
      </c>
      <c r="H46" s="404"/>
      <c r="I46" s="4"/>
      <c r="L46" s="4"/>
      <c r="M46" s="4"/>
    </row>
    <row r="47" spans="2:13" ht="13.5">
      <c r="B47" s="46">
        <v>3</v>
      </c>
      <c r="D47" s="9" t="s">
        <v>1</v>
      </c>
      <c r="E47" s="9" t="s">
        <v>1</v>
      </c>
      <c r="F47" s="9" t="s">
        <v>1</v>
      </c>
      <c r="G47" s="9" t="s">
        <v>1</v>
      </c>
      <c r="H47" s="404"/>
      <c r="I47" s="4"/>
      <c r="L47" s="4"/>
      <c r="M47" s="4"/>
    </row>
    <row r="48" spans="2:13" ht="13.5">
      <c r="B48" s="46">
        <v>4</v>
      </c>
      <c r="C48" s="55" t="s">
        <v>148</v>
      </c>
      <c r="D48" s="9" t="s">
        <v>1</v>
      </c>
      <c r="E48" s="9" t="s">
        <v>1</v>
      </c>
      <c r="F48" s="9" t="s">
        <v>1</v>
      </c>
      <c r="G48" s="9" t="s">
        <v>1</v>
      </c>
      <c r="H48" s="404"/>
      <c r="I48" s="4"/>
      <c r="L48" s="4"/>
      <c r="M48" s="4"/>
    </row>
    <row r="49" spans="2:13" ht="25.5" customHeight="1">
      <c r="B49" s="523"/>
      <c r="C49" s="524" t="s">
        <v>246</v>
      </c>
      <c r="D49" s="525" t="s">
        <v>1</v>
      </c>
      <c r="E49" s="525" t="s">
        <v>1</v>
      </c>
      <c r="F49" s="525" t="s">
        <v>1</v>
      </c>
      <c r="G49" s="525" t="s">
        <v>1</v>
      </c>
      <c r="H49" s="449">
        <f>(H41+H39+H28+H43)/1000</f>
        <v>3403.04</v>
      </c>
      <c r="I49" s="4"/>
      <c r="L49" s="4"/>
      <c r="M49" s="4"/>
    </row>
    <row r="50" spans="2:13" ht="13.5">
      <c r="B50" s="4"/>
      <c r="C50" s="4"/>
      <c r="D50" s="4"/>
      <c r="E50" s="4"/>
      <c r="F50" s="4"/>
      <c r="G50" s="4"/>
      <c r="I50" s="4"/>
      <c r="L50" s="4"/>
      <c r="M50" s="4"/>
    </row>
    <row r="51" spans="2:14" s="211" customFormat="1" ht="17.25">
      <c r="B51" s="3"/>
      <c r="C51" s="57"/>
      <c r="D51" s="58"/>
      <c r="E51" s="58"/>
      <c r="F51" s="401"/>
      <c r="G51" s="58"/>
      <c r="H51" s="56"/>
      <c r="I51" s="4"/>
      <c r="J51" s="4"/>
      <c r="K51" s="4"/>
      <c r="L51" s="4"/>
      <c r="N51" s="4"/>
    </row>
    <row r="52" spans="9:12" ht="13.5">
      <c r="I52" s="4"/>
      <c r="L52" s="4"/>
    </row>
    <row r="53" spans="2:3" ht="13.5">
      <c r="B53" s="478" t="s">
        <v>7</v>
      </c>
      <c r="C53" s="479" t="s">
        <v>405</v>
      </c>
    </row>
    <row r="54" spans="2:12" ht="19.5">
      <c r="B54" s="532">
        <v>1</v>
      </c>
      <c r="C54" s="529" t="s">
        <v>471</v>
      </c>
      <c r="I54" s="4"/>
      <c r="L54" s="4"/>
    </row>
    <row r="55" spans="2:12" ht="19.5">
      <c r="B55" s="532">
        <v>2</v>
      </c>
      <c r="C55" s="529" t="s">
        <v>473</v>
      </c>
      <c r="I55" s="4"/>
      <c r="L55" s="4"/>
    </row>
  </sheetData>
  <sheetProtection/>
  <mergeCells count="10">
    <mergeCell ref="D30:D31"/>
    <mergeCell ref="B30:B31"/>
    <mergeCell ref="C30:C31"/>
    <mergeCell ref="C3:E3"/>
    <mergeCell ref="C2:G2"/>
    <mergeCell ref="B11:B12"/>
    <mergeCell ref="C11:C12"/>
    <mergeCell ref="E11:H11"/>
    <mergeCell ref="B4:H4"/>
    <mergeCell ref="B5:H5"/>
  </mergeCells>
  <printOptions/>
  <pageMargins left="0.25" right="0.25" top="0.25" bottom="0.25" header="0.22" footer="0.16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4.28125" style="3" customWidth="1"/>
    <col min="2" max="2" width="30.7109375" style="59" customWidth="1"/>
    <col min="3" max="3" width="8.28125" style="59" customWidth="1"/>
    <col min="4" max="5" width="10.00390625" style="59" customWidth="1"/>
    <col min="6" max="6" width="9.140625" style="56" customWidth="1"/>
    <col min="7" max="7" width="8.00390625" style="59" customWidth="1"/>
    <col min="8" max="8" width="11.8515625" style="56" customWidth="1"/>
    <col min="9" max="9" width="12.140625" style="3" customWidth="1"/>
    <col min="10" max="16384" width="9.140625" style="4" customWidth="1"/>
  </cols>
  <sheetData>
    <row r="1" spans="1:14" s="28" customFormat="1" ht="13.5">
      <c r="A1" s="195"/>
      <c r="B1" s="2"/>
      <c r="C1" s="2"/>
      <c r="D1" s="73"/>
      <c r="E1" s="73"/>
      <c r="F1" s="2"/>
      <c r="G1" s="2"/>
      <c r="H1" s="27"/>
      <c r="I1" s="86" t="s">
        <v>63</v>
      </c>
      <c r="J1" s="2"/>
      <c r="K1" s="27"/>
      <c r="L1" s="27"/>
      <c r="M1" s="27"/>
      <c r="N1" s="27"/>
    </row>
    <row r="2" spans="1:14" s="28" customFormat="1" ht="12.75" customHeight="1">
      <c r="A2" s="27"/>
      <c r="B2" s="2"/>
      <c r="C2" s="2"/>
      <c r="D2" s="73"/>
      <c r="E2" s="73"/>
      <c r="F2" s="2"/>
      <c r="G2" s="2"/>
      <c r="H2" s="632" t="s">
        <v>10</v>
      </c>
      <c r="I2" s="632"/>
      <c r="J2" s="632"/>
      <c r="K2" s="27"/>
      <c r="L2" s="27"/>
      <c r="M2" s="27"/>
      <c r="N2" s="27"/>
    </row>
    <row r="3" spans="2:8" s="28" customFormat="1" ht="15" thickBot="1">
      <c r="B3" s="643" t="s">
        <v>947</v>
      </c>
      <c r="C3" s="643"/>
      <c r="D3" s="643"/>
      <c r="E3" s="643"/>
      <c r="F3" s="643"/>
      <c r="G3" s="6"/>
      <c r="H3" s="200"/>
    </row>
    <row r="4" spans="1:9" s="28" customFormat="1" ht="14.25">
      <c r="A4" s="27"/>
      <c r="B4" s="73"/>
      <c r="C4" s="73"/>
      <c r="D4" s="73"/>
      <c r="E4" s="2"/>
      <c r="F4" s="74"/>
      <c r="G4" s="75"/>
      <c r="H4" s="65"/>
      <c r="I4" s="29"/>
    </row>
    <row r="5" spans="1:9" s="28" customFormat="1" ht="13.5">
      <c r="A5" s="27"/>
      <c r="B5" s="37" t="s">
        <v>54</v>
      </c>
      <c r="C5" s="74"/>
      <c r="D5" s="74"/>
      <c r="E5" s="74"/>
      <c r="F5" s="74"/>
      <c r="G5" s="74"/>
      <c r="H5" s="74"/>
      <c r="I5" s="27"/>
    </row>
    <row r="6" spans="1:9" s="28" customFormat="1" ht="27">
      <c r="A6" s="27"/>
      <c r="B6" s="74" t="s">
        <v>355</v>
      </c>
      <c r="C6" s="74"/>
      <c r="D6" s="74"/>
      <c r="E6" s="74"/>
      <c r="F6" s="74"/>
      <c r="G6" s="74"/>
      <c r="H6" s="74"/>
      <c r="I6" s="27"/>
    </row>
    <row r="7" spans="1:9" s="28" customFormat="1" ht="13.5">
      <c r="A7" s="27"/>
      <c r="B7" s="73"/>
      <c r="C7" s="73"/>
      <c r="D7" s="73"/>
      <c r="E7" s="73"/>
      <c r="F7" s="65"/>
      <c r="G7" s="73"/>
      <c r="H7" s="65"/>
      <c r="I7" s="27"/>
    </row>
    <row r="8" spans="1:14" s="12" customFormat="1" ht="63.75">
      <c r="A8" s="76"/>
      <c r="B8" s="77"/>
      <c r="C8" s="43" t="s">
        <v>66</v>
      </c>
      <c r="D8" s="43" t="s">
        <v>67</v>
      </c>
      <c r="E8" s="43" t="s">
        <v>68</v>
      </c>
      <c r="F8" s="43" t="s">
        <v>69</v>
      </c>
      <c r="G8" s="42" t="s">
        <v>70</v>
      </c>
      <c r="H8" s="42" t="s">
        <v>71</v>
      </c>
      <c r="I8" s="78" t="s">
        <v>72</v>
      </c>
      <c r="N8" s="28"/>
    </row>
    <row r="9" spans="1:14" s="12" customFormat="1" ht="13.5">
      <c r="A9" s="49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49">
        <v>9</v>
      </c>
      <c r="N9" s="28"/>
    </row>
    <row r="10" spans="1:14" ht="67.5">
      <c r="A10" s="49">
        <v>1</v>
      </c>
      <c r="B10" s="47" t="s">
        <v>223</v>
      </c>
      <c r="C10" s="21" t="s">
        <v>1</v>
      </c>
      <c r="D10" s="21" t="s">
        <v>1</v>
      </c>
      <c r="E10" s="21" t="s">
        <v>1</v>
      </c>
      <c r="F10" s="9"/>
      <c r="G10" s="21">
        <v>29.32</v>
      </c>
      <c r="H10" s="48">
        <f>F10*G10</f>
        <v>0</v>
      </c>
      <c r="I10" s="235">
        <f>H10*0.05348</f>
        <v>0</v>
      </c>
      <c r="J10" s="12"/>
      <c r="N10" s="28"/>
    </row>
    <row r="11" spans="1:14" ht="67.5">
      <c r="A11" s="49">
        <v>2</v>
      </c>
      <c r="B11" s="47" t="s">
        <v>74</v>
      </c>
      <c r="C11" s="21" t="s">
        <v>1</v>
      </c>
      <c r="D11" s="21" t="s">
        <v>1</v>
      </c>
      <c r="E11" s="21" t="s">
        <v>1</v>
      </c>
      <c r="F11" s="9">
        <v>4281</v>
      </c>
      <c r="G11" s="21">
        <v>21.4</v>
      </c>
      <c r="H11" s="48">
        <f>F11*G11</f>
        <v>91613.4</v>
      </c>
      <c r="I11" s="235">
        <f aca="true" t="shared" si="0" ref="I11:I18">H11*0.05348</f>
        <v>4899.484632</v>
      </c>
      <c r="N11" s="28"/>
    </row>
    <row r="12" spans="1:9" ht="67.5">
      <c r="A12" s="49">
        <v>3</v>
      </c>
      <c r="B12" s="47" t="s">
        <v>75</v>
      </c>
      <c r="C12" s="47">
        <v>140</v>
      </c>
      <c r="D12" s="21" t="s">
        <v>1</v>
      </c>
      <c r="E12" s="21" t="s">
        <v>1</v>
      </c>
      <c r="F12" s="21" t="s">
        <v>1</v>
      </c>
      <c r="G12" s="21">
        <v>1100</v>
      </c>
      <c r="H12" s="79">
        <f>C12*G12</f>
        <v>154000</v>
      </c>
      <c r="I12" s="235">
        <f t="shared" si="0"/>
        <v>8235.92</v>
      </c>
    </row>
    <row r="13" spans="1:9" ht="40.5">
      <c r="A13" s="49">
        <v>4</v>
      </c>
      <c r="B13" s="47" t="s">
        <v>73</v>
      </c>
      <c r="C13" s="21"/>
      <c r="D13" s="79">
        <f>SUM(D15:D18)</f>
        <v>0</v>
      </c>
      <c r="E13" s="79">
        <f>SUM(E15:E18)</f>
        <v>0</v>
      </c>
      <c r="F13" s="21" t="s">
        <v>1</v>
      </c>
      <c r="G13" s="21" t="s">
        <v>1</v>
      </c>
      <c r="H13" s="79">
        <f>SUM(H15:H18)</f>
        <v>0</v>
      </c>
      <c r="I13" s="79">
        <f>SUM(I15:I18)</f>
        <v>0</v>
      </c>
    </row>
    <row r="14" spans="1:9" ht="21" customHeight="1">
      <c r="A14" s="49"/>
      <c r="B14" s="47" t="s">
        <v>76</v>
      </c>
      <c r="C14" s="21"/>
      <c r="D14" s="21"/>
      <c r="E14" s="21"/>
      <c r="F14" s="21"/>
      <c r="G14" s="21"/>
      <c r="H14" s="79"/>
      <c r="I14" s="235">
        <f t="shared" si="0"/>
        <v>0</v>
      </c>
    </row>
    <row r="15" spans="1:9" ht="21" customHeight="1">
      <c r="A15" s="49">
        <v>4.1</v>
      </c>
      <c r="B15" s="47"/>
      <c r="C15" s="21" t="s">
        <v>1</v>
      </c>
      <c r="D15" s="21"/>
      <c r="E15" s="21"/>
      <c r="F15" s="21" t="s">
        <v>1</v>
      </c>
      <c r="G15" s="21" t="s">
        <v>1</v>
      </c>
      <c r="H15" s="79">
        <f>D15*E15</f>
        <v>0</v>
      </c>
      <c r="I15" s="235">
        <f t="shared" si="0"/>
        <v>0</v>
      </c>
    </row>
    <row r="16" spans="1:9" ht="21" customHeight="1">
      <c r="A16" s="49">
        <v>4.2</v>
      </c>
      <c r="B16" s="47"/>
      <c r="C16" s="21" t="s">
        <v>1</v>
      </c>
      <c r="D16" s="21"/>
      <c r="E16" s="21"/>
      <c r="F16" s="21" t="s">
        <v>1</v>
      </c>
      <c r="G16" s="21" t="s">
        <v>1</v>
      </c>
      <c r="H16" s="79">
        <f>D16*E16</f>
        <v>0</v>
      </c>
      <c r="I16" s="235">
        <f t="shared" si="0"/>
        <v>0</v>
      </c>
    </row>
    <row r="17" spans="1:9" ht="18" customHeight="1">
      <c r="A17" s="49">
        <v>4.3</v>
      </c>
      <c r="B17" s="47"/>
      <c r="C17" s="21" t="s">
        <v>1</v>
      </c>
      <c r="D17" s="21"/>
      <c r="E17" s="21"/>
      <c r="F17" s="21" t="s">
        <v>1</v>
      </c>
      <c r="G17" s="21" t="s">
        <v>1</v>
      </c>
      <c r="H17" s="79">
        <f>D17*E17</f>
        <v>0</v>
      </c>
      <c r="I17" s="235">
        <f t="shared" si="0"/>
        <v>0</v>
      </c>
    </row>
    <row r="18" spans="1:9" ht="18" customHeight="1">
      <c r="A18" s="49">
        <v>4.4</v>
      </c>
      <c r="B18" s="47"/>
      <c r="C18" s="21" t="s">
        <v>1</v>
      </c>
      <c r="D18" s="21"/>
      <c r="E18" s="21"/>
      <c r="F18" s="21" t="s">
        <v>1</v>
      </c>
      <c r="G18" s="21" t="s">
        <v>1</v>
      </c>
      <c r="H18" s="79">
        <f>D18*E18</f>
        <v>0</v>
      </c>
      <c r="I18" s="235">
        <f t="shared" si="0"/>
        <v>0</v>
      </c>
    </row>
    <row r="19" spans="1:9" ht="27" customHeight="1">
      <c r="A19" s="80"/>
      <c r="B19" s="81" t="s">
        <v>59</v>
      </c>
      <c r="C19" s="81"/>
      <c r="D19" s="82" t="s">
        <v>1</v>
      </c>
      <c r="E19" s="82" t="s">
        <v>1</v>
      </c>
      <c r="F19" s="82" t="s">
        <v>1</v>
      </c>
      <c r="G19" s="82" t="s">
        <v>1</v>
      </c>
      <c r="H19" s="83">
        <f>SUM(H10:H13)</f>
        <v>245613.4</v>
      </c>
      <c r="I19" s="83">
        <f>SUM(I10:I13)*0.65</f>
        <v>8538.0130108</v>
      </c>
    </row>
    <row r="22" spans="2:8" ht="16.5">
      <c r="B22" s="84"/>
      <c r="C22" s="85"/>
      <c r="D22" s="85"/>
      <c r="E22" s="85"/>
      <c r="F22" s="58"/>
      <c r="G22" s="85"/>
      <c r="H22" s="58"/>
    </row>
    <row r="23" spans="2:12" ht="22.5" customHeight="1">
      <c r="B23" s="479" t="s">
        <v>476</v>
      </c>
      <c r="C23" s="56"/>
      <c r="G23" s="56"/>
      <c r="I23" s="56"/>
      <c r="J23" s="56"/>
      <c r="K23" s="3"/>
      <c r="L23" s="3"/>
    </row>
    <row r="24" spans="1:14" ht="28.5" customHeight="1">
      <c r="A24" s="27"/>
      <c r="B24" s="90" t="s">
        <v>106</v>
      </c>
      <c r="C24" s="74"/>
      <c r="D24" s="75"/>
      <c r="E24" s="75"/>
      <c r="F24" s="74"/>
      <c r="G24" s="74"/>
      <c r="H24" s="74"/>
      <c r="I24" s="74"/>
      <c r="J24" s="74"/>
      <c r="K24" s="87"/>
      <c r="L24" s="87"/>
      <c r="M24" s="87"/>
      <c r="N24" s="4" t="s">
        <v>0</v>
      </c>
    </row>
    <row r="25" spans="1:13" ht="13.5">
      <c r="A25" s="27"/>
      <c r="B25" s="90" t="s">
        <v>85</v>
      </c>
      <c r="C25" s="74"/>
      <c r="D25" s="75"/>
      <c r="E25" s="75"/>
      <c r="F25" s="74"/>
      <c r="G25" s="74"/>
      <c r="H25" s="74"/>
      <c r="I25" s="74"/>
      <c r="J25" s="74"/>
      <c r="K25" s="87" t="s">
        <v>0</v>
      </c>
      <c r="L25" s="87"/>
      <c r="M25" s="87"/>
    </row>
  </sheetData>
  <sheetProtection/>
  <mergeCells count="2">
    <mergeCell ref="H2:J2"/>
    <mergeCell ref="B3:F3"/>
  </mergeCells>
  <printOptions/>
  <pageMargins left="0.21" right="0.17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4.28125" style="3" customWidth="1"/>
    <col min="2" max="2" width="17.8515625" style="59" customWidth="1"/>
    <col min="3" max="3" width="12.57421875" style="56" customWidth="1"/>
    <col min="4" max="4" width="17.7109375" style="59" customWidth="1"/>
    <col min="5" max="5" width="16.140625" style="59" customWidth="1"/>
    <col min="6" max="6" width="16.28125" style="56" customWidth="1"/>
    <col min="7" max="7" width="14.00390625" style="3" customWidth="1"/>
    <col min="8" max="8" width="15.140625" style="3" customWidth="1"/>
    <col min="9" max="16384" width="9.140625" style="4" customWidth="1"/>
  </cols>
  <sheetData>
    <row r="1" spans="1:14" s="28" customFormat="1" ht="13.5">
      <c r="A1" s="195"/>
      <c r="B1" s="2"/>
      <c r="C1" s="2"/>
      <c r="D1" s="73"/>
      <c r="E1" s="73"/>
      <c r="F1" s="632"/>
      <c r="G1" s="632"/>
      <c r="H1" s="27"/>
      <c r="I1" s="86" t="s">
        <v>65</v>
      </c>
      <c r="J1" s="2"/>
      <c r="K1" s="27"/>
      <c r="L1" s="27"/>
      <c r="M1" s="27"/>
      <c r="N1" s="27"/>
    </row>
    <row r="2" spans="1:14" s="28" customFormat="1" ht="13.5">
      <c r="A2" s="195"/>
      <c r="B2" s="2"/>
      <c r="C2" s="2"/>
      <c r="D2" s="73"/>
      <c r="E2" s="73"/>
      <c r="F2" s="632"/>
      <c r="G2" s="632"/>
      <c r="H2" s="632" t="s">
        <v>10</v>
      </c>
      <c r="I2" s="632"/>
      <c r="J2" s="632"/>
      <c r="K2" s="27"/>
      <c r="L2" s="27"/>
      <c r="M2" s="27"/>
      <c r="N2" s="27"/>
    </row>
    <row r="3" spans="2:7" s="28" customFormat="1" ht="27.75" customHeight="1" thickBot="1">
      <c r="B3" s="643" t="s">
        <v>947</v>
      </c>
      <c r="C3" s="643"/>
      <c r="D3" s="643"/>
      <c r="E3" s="643"/>
      <c r="F3" s="643"/>
      <c r="G3" s="200"/>
    </row>
    <row r="4" spans="1:8" s="28" customFormat="1" ht="14.25">
      <c r="A4" s="27"/>
      <c r="B4" s="73"/>
      <c r="C4" s="65"/>
      <c r="D4" s="2"/>
      <c r="E4" s="2"/>
      <c r="F4" s="74"/>
      <c r="G4" s="87"/>
      <c r="H4" s="29"/>
    </row>
    <row r="5" spans="1:8" s="28" customFormat="1" ht="13.5">
      <c r="A5" s="27"/>
      <c r="B5" s="37" t="s">
        <v>54</v>
      </c>
      <c r="C5" s="74"/>
      <c r="D5" s="74"/>
      <c r="E5" s="74"/>
      <c r="F5" s="74"/>
      <c r="G5" s="87"/>
      <c r="H5" s="27"/>
    </row>
    <row r="6" spans="1:8" s="28" customFormat="1" ht="27">
      <c r="A6" s="27"/>
      <c r="B6" s="74" t="s">
        <v>356</v>
      </c>
      <c r="C6" s="74"/>
      <c r="D6" s="74"/>
      <c r="E6" s="74"/>
      <c r="F6" s="74"/>
      <c r="G6" s="87"/>
      <c r="H6" s="27"/>
    </row>
    <row r="7" spans="1:7" ht="13.5">
      <c r="A7" s="27"/>
      <c r="B7" s="73"/>
      <c r="C7" s="65"/>
      <c r="D7" s="73"/>
      <c r="E7" s="73"/>
      <c r="F7" s="65"/>
      <c r="G7" s="27"/>
    </row>
    <row r="8" spans="1:8" s="12" customFormat="1" ht="63" customHeight="1">
      <c r="A8" s="76" t="s">
        <v>60</v>
      </c>
      <c r="B8" s="43" t="s">
        <v>77</v>
      </c>
      <c r="C8" s="43" t="s">
        <v>78</v>
      </c>
      <c r="D8" s="11" t="s">
        <v>79</v>
      </c>
      <c r="E8" s="11" t="s">
        <v>80</v>
      </c>
      <c r="F8" s="42" t="s">
        <v>178</v>
      </c>
      <c r="G8" s="42" t="s">
        <v>177</v>
      </c>
      <c r="H8" s="78" t="s">
        <v>83</v>
      </c>
    </row>
    <row r="9" spans="1:8" s="12" customFormat="1" ht="18" customHeight="1">
      <c r="A9" s="49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49">
        <v>7</v>
      </c>
      <c r="H9" s="49">
        <v>8</v>
      </c>
    </row>
    <row r="10" spans="1:8" s="12" customFormat="1" ht="24.75" customHeight="1">
      <c r="A10" s="80">
        <v>1</v>
      </c>
      <c r="B10" s="11" t="s">
        <v>541</v>
      </c>
      <c r="C10" s="43" t="s">
        <v>81</v>
      </c>
      <c r="D10" s="11">
        <v>8451</v>
      </c>
      <c r="E10" s="11">
        <v>1440</v>
      </c>
      <c r="F10" s="11">
        <v>27.4</v>
      </c>
      <c r="G10" s="50">
        <f>E10*F10</f>
        <v>39456</v>
      </c>
      <c r="H10" s="235">
        <f>G10*0.05348</f>
        <v>2110.10688</v>
      </c>
    </row>
    <row r="11" spans="1:8" s="12" customFormat="1" ht="30.75" customHeight="1">
      <c r="A11" s="49"/>
      <c r="B11" s="11"/>
      <c r="C11" s="43" t="s">
        <v>82</v>
      </c>
      <c r="D11" s="11"/>
      <c r="E11" s="11"/>
      <c r="F11" s="11"/>
      <c r="G11" s="50">
        <f>E11*F11</f>
        <v>0</v>
      </c>
      <c r="H11" s="235">
        <f>G11*0.05348</f>
        <v>0</v>
      </c>
    </row>
    <row r="12" spans="1:8" ht="21.75" customHeight="1">
      <c r="A12" s="88">
        <v>2</v>
      </c>
      <c r="B12" s="47" t="s">
        <v>542</v>
      </c>
      <c r="C12" s="43" t="s">
        <v>81</v>
      </c>
      <c r="D12" s="21">
        <v>8250</v>
      </c>
      <c r="E12" s="21">
        <v>1044</v>
      </c>
      <c r="F12" s="48">
        <v>27.4</v>
      </c>
      <c r="G12" s="50">
        <f>E12*F12</f>
        <v>28605.6</v>
      </c>
      <c r="H12" s="235">
        <f>G12*0.05348</f>
        <v>1529.827488</v>
      </c>
    </row>
    <row r="13" spans="1:8" ht="28.5" customHeight="1">
      <c r="A13" s="46"/>
      <c r="B13" s="47"/>
      <c r="C13" s="43" t="s">
        <v>82</v>
      </c>
      <c r="D13" s="21"/>
      <c r="E13" s="21"/>
      <c r="F13" s="48"/>
      <c r="G13" s="50">
        <f>E13*F13</f>
        <v>0</v>
      </c>
      <c r="H13" s="235">
        <f>G13*0.05348</f>
        <v>0</v>
      </c>
    </row>
    <row r="14" spans="1:8" ht="33.75" customHeight="1">
      <c r="A14" s="88"/>
      <c r="B14" s="81" t="s">
        <v>59</v>
      </c>
      <c r="C14" s="82" t="s">
        <v>1</v>
      </c>
      <c r="D14" s="82" t="s">
        <v>1</v>
      </c>
      <c r="E14" s="82" t="s">
        <v>1</v>
      </c>
      <c r="F14" s="82" t="s">
        <v>1</v>
      </c>
      <c r="G14" s="89">
        <f>SUM(G10:G13)</f>
        <v>68061.6</v>
      </c>
      <c r="H14" s="89">
        <f>SUM(H10:H13)</f>
        <v>3639.9343679999997</v>
      </c>
    </row>
  </sheetData>
  <sheetProtection/>
  <mergeCells count="4">
    <mergeCell ref="F1:G1"/>
    <mergeCell ref="F2:G2"/>
    <mergeCell ref="H2:J2"/>
    <mergeCell ref="B3:F3"/>
  </mergeCells>
  <printOptions/>
  <pageMargins left="0.46" right="0.23" top="0.61" bottom="1" header="0.29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3.421875" style="3" customWidth="1"/>
    <col min="2" max="2" width="24.7109375" style="4" customWidth="1"/>
    <col min="3" max="3" width="19.7109375" style="4" customWidth="1"/>
    <col min="4" max="4" width="9.8515625" style="4" bestFit="1" customWidth="1"/>
    <col min="5" max="5" width="8.7109375" style="4" bestFit="1" customWidth="1"/>
    <col min="6" max="6" width="6.8515625" style="111" customWidth="1"/>
    <col min="7" max="8" width="11.57421875" style="111" customWidth="1"/>
    <col min="9" max="9" width="9.57421875" style="4" bestFit="1" customWidth="1"/>
    <col min="10" max="10" width="9.57421875" style="4" customWidth="1"/>
    <col min="11" max="11" width="10.8515625" style="4" bestFit="1" customWidth="1"/>
    <col min="12" max="12" width="9.7109375" style="4" customWidth="1"/>
    <col min="13" max="13" width="11.140625" style="4" customWidth="1"/>
    <col min="14" max="14" width="7.28125" style="111" customWidth="1"/>
    <col min="15" max="16" width="11.57421875" style="111" customWidth="1"/>
    <col min="17" max="17" width="9.57421875" style="4" bestFit="1" customWidth="1"/>
    <col min="18" max="18" width="9.57421875" style="4" customWidth="1"/>
    <col min="19" max="19" width="10.8515625" style="4" bestFit="1" customWidth="1"/>
    <col min="20" max="20" width="9.57421875" style="4" customWidth="1"/>
    <col min="21" max="21" width="11.140625" style="4" customWidth="1"/>
    <col min="22" max="22" width="10.7109375" style="4" bestFit="1" customWidth="1"/>
    <col min="23" max="16384" width="9.140625" style="4" customWidth="1"/>
  </cols>
  <sheetData>
    <row r="1" spans="1:26" s="28" customFormat="1" ht="13.5">
      <c r="A1" s="195"/>
      <c r="B1" s="2"/>
      <c r="C1" s="2"/>
      <c r="D1" s="2"/>
      <c r="E1" s="2"/>
      <c r="F1" s="2"/>
      <c r="G1" s="73"/>
      <c r="H1" s="73"/>
      <c r="I1" s="73"/>
      <c r="J1" s="73"/>
      <c r="K1" s="2"/>
      <c r="L1" s="2"/>
      <c r="M1" s="95"/>
      <c r="N1" s="95"/>
      <c r="O1" s="95"/>
      <c r="P1" s="95"/>
      <c r="Q1" s="95"/>
      <c r="R1" s="95"/>
      <c r="S1" s="27"/>
      <c r="T1" s="86" t="s">
        <v>84</v>
      </c>
      <c r="U1" s="2"/>
      <c r="V1" s="632"/>
      <c r="W1" s="632"/>
      <c r="X1" s="632"/>
      <c r="Y1" s="632"/>
      <c r="Z1" s="632"/>
    </row>
    <row r="2" spans="1:26" s="28" customFormat="1" ht="13.5">
      <c r="A2" s="195"/>
      <c r="B2" s="2"/>
      <c r="C2" s="2"/>
      <c r="D2" s="2"/>
      <c r="E2" s="2"/>
      <c r="F2" s="2"/>
      <c r="G2" s="73"/>
      <c r="H2" s="73"/>
      <c r="I2" s="73"/>
      <c r="J2" s="73"/>
      <c r="K2" s="2"/>
      <c r="L2" s="2"/>
      <c r="M2" s="95"/>
      <c r="N2" s="95"/>
      <c r="O2" s="95"/>
      <c r="P2" s="95"/>
      <c r="Q2" s="95"/>
      <c r="R2" s="95"/>
      <c r="S2" s="632" t="s">
        <v>10</v>
      </c>
      <c r="T2" s="632"/>
      <c r="U2" s="632"/>
      <c r="V2" s="632"/>
      <c r="W2" s="632"/>
      <c r="X2" s="632"/>
      <c r="Y2" s="632"/>
      <c r="Z2" s="632"/>
    </row>
    <row r="3" spans="2:23" s="28" customFormat="1" ht="15" customHeight="1" thickBot="1">
      <c r="B3" s="643" t="s">
        <v>947</v>
      </c>
      <c r="C3" s="643"/>
      <c r="D3" s="643"/>
      <c r="E3" s="643"/>
      <c r="F3" s="643"/>
      <c r="G3" s="6"/>
      <c r="H3" s="6"/>
      <c r="I3" s="6"/>
      <c r="J3" s="6"/>
      <c r="K3" s="200"/>
      <c r="L3" s="200"/>
      <c r="M3" s="95"/>
      <c r="N3" s="95"/>
      <c r="O3" s="95"/>
      <c r="P3" s="95"/>
      <c r="Q3" s="95"/>
      <c r="R3" s="95"/>
      <c r="S3" s="95"/>
      <c r="T3" s="95"/>
      <c r="U3" s="95"/>
      <c r="W3" s="28" t="s">
        <v>0</v>
      </c>
    </row>
    <row r="4" spans="1:21" s="28" customFormat="1" ht="14.25">
      <c r="A4" s="27"/>
      <c r="B4" s="660" t="s">
        <v>87</v>
      </c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34"/>
      <c r="O4" s="34"/>
      <c r="P4" s="34"/>
      <c r="Q4" s="34"/>
      <c r="R4" s="34"/>
      <c r="S4" s="34"/>
      <c r="T4" s="34"/>
      <c r="U4" s="34"/>
    </row>
    <row r="5" spans="1:21" s="28" customFormat="1" ht="13.5">
      <c r="A5" s="27"/>
      <c r="B5" s="117"/>
      <c r="C5" s="117"/>
      <c r="D5" s="117"/>
      <c r="E5" s="117"/>
      <c r="F5" s="201"/>
      <c r="G5" s="201"/>
      <c r="H5" s="201"/>
      <c r="I5" s="117"/>
      <c r="J5" s="117"/>
      <c r="K5" s="117"/>
      <c r="L5" s="117"/>
      <c r="M5" s="117"/>
      <c r="N5" s="202"/>
      <c r="O5" s="202"/>
      <c r="P5" s="202"/>
      <c r="Q5" s="8"/>
      <c r="R5" s="8"/>
      <c r="S5" s="8"/>
      <c r="T5" s="8"/>
      <c r="U5" s="8"/>
    </row>
    <row r="6" spans="1:21" s="28" customFormat="1" ht="14.25">
      <c r="A6" s="27"/>
      <c r="B6" s="660" t="s">
        <v>372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119"/>
      <c r="O6" s="119"/>
      <c r="P6" s="119"/>
      <c r="Q6" s="119"/>
      <c r="R6" s="119"/>
      <c r="S6" s="119"/>
      <c r="T6" s="119"/>
      <c r="U6" s="119"/>
    </row>
    <row r="7" spans="1:21" s="28" customFormat="1" ht="14.25">
      <c r="A7" s="27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1:22" s="28" customFormat="1" ht="15" thickBot="1">
      <c r="A8" s="27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661" t="s">
        <v>88</v>
      </c>
      <c r="V8" s="661"/>
    </row>
    <row r="9" spans="1:22" ht="15" customHeight="1">
      <c r="A9" s="662" t="s">
        <v>60</v>
      </c>
      <c r="B9" s="664" t="s">
        <v>89</v>
      </c>
      <c r="C9" s="666" t="s">
        <v>230</v>
      </c>
      <c r="D9" s="674" t="s">
        <v>357</v>
      </c>
      <c r="E9" s="675"/>
      <c r="F9" s="668" t="s">
        <v>233</v>
      </c>
      <c r="G9" s="669"/>
      <c r="H9" s="669"/>
      <c r="I9" s="669"/>
      <c r="J9" s="669"/>
      <c r="K9" s="669"/>
      <c r="L9" s="669"/>
      <c r="M9" s="670"/>
      <c r="N9" s="668" t="s">
        <v>238</v>
      </c>
      <c r="O9" s="669"/>
      <c r="P9" s="669"/>
      <c r="Q9" s="669"/>
      <c r="R9" s="669"/>
      <c r="S9" s="669"/>
      <c r="T9" s="669"/>
      <c r="U9" s="670"/>
      <c r="V9" s="671" t="s">
        <v>373</v>
      </c>
    </row>
    <row r="10" spans="1:22" ht="14.25">
      <c r="A10" s="663"/>
      <c r="B10" s="665"/>
      <c r="C10" s="667"/>
      <c r="D10" s="98"/>
      <c r="E10" s="422"/>
      <c r="F10" s="423"/>
      <c r="G10" s="424"/>
      <c r="H10" s="659" t="s">
        <v>92</v>
      </c>
      <c r="I10" s="659"/>
      <c r="J10" s="659" t="s">
        <v>96</v>
      </c>
      <c r="K10" s="659"/>
      <c r="L10" s="424"/>
      <c r="M10" s="425"/>
      <c r="N10" s="423"/>
      <c r="O10" s="424"/>
      <c r="P10" s="659" t="s">
        <v>92</v>
      </c>
      <c r="Q10" s="659"/>
      <c r="R10" s="659" t="s">
        <v>96</v>
      </c>
      <c r="S10" s="659"/>
      <c r="T10" s="424"/>
      <c r="U10" s="425"/>
      <c r="V10" s="672"/>
    </row>
    <row r="11" spans="1:22" s="12" customFormat="1" ht="77.25" thickBot="1">
      <c r="A11" s="663"/>
      <c r="B11" s="665"/>
      <c r="C11" s="667"/>
      <c r="D11" s="426" t="s">
        <v>91</v>
      </c>
      <c r="E11" s="427" t="s">
        <v>95</v>
      </c>
      <c r="F11" s="426" t="s">
        <v>90</v>
      </c>
      <c r="G11" s="96" t="s">
        <v>91</v>
      </c>
      <c r="H11" s="96" t="s">
        <v>93</v>
      </c>
      <c r="I11" s="96" t="s">
        <v>59</v>
      </c>
      <c r="J11" s="96" t="s">
        <v>93</v>
      </c>
      <c r="K11" s="96" t="s">
        <v>59</v>
      </c>
      <c r="L11" s="96" t="s">
        <v>94</v>
      </c>
      <c r="M11" s="427" t="s">
        <v>95</v>
      </c>
      <c r="N11" s="428" t="s">
        <v>90</v>
      </c>
      <c r="O11" s="429" t="s">
        <v>91</v>
      </c>
      <c r="P11" s="429" t="s">
        <v>93</v>
      </c>
      <c r="Q11" s="429" t="s">
        <v>59</v>
      </c>
      <c r="R11" s="429" t="s">
        <v>93</v>
      </c>
      <c r="S11" s="429" t="s">
        <v>59</v>
      </c>
      <c r="T11" s="429" t="s">
        <v>97</v>
      </c>
      <c r="U11" s="430" t="s">
        <v>95</v>
      </c>
      <c r="V11" s="673"/>
    </row>
    <row r="12" spans="1:22" s="12" customFormat="1" ht="13.5" thickBot="1">
      <c r="A12" s="431">
        <v>1</v>
      </c>
      <c r="B12" s="432">
        <v>2</v>
      </c>
      <c r="C12" s="433">
        <v>3</v>
      </c>
      <c r="D12" s="60">
        <v>4</v>
      </c>
      <c r="E12" s="434">
        <v>5</v>
      </c>
      <c r="F12" s="60">
        <v>6</v>
      </c>
      <c r="G12" s="435">
        <v>7</v>
      </c>
      <c r="H12" s="61">
        <v>8</v>
      </c>
      <c r="I12" s="435">
        <v>9</v>
      </c>
      <c r="J12" s="435">
        <v>10</v>
      </c>
      <c r="K12" s="61">
        <v>11</v>
      </c>
      <c r="L12" s="435">
        <v>12</v>
      </c>
      <c r="M12" s="433">
        <v>13</v>
      </c>
      <c r="N12" s="436">
        <v>14</v>
      </c>
      <c r="O12" s="435">
        <v>15</v>
      </c>
      <c r="P12" s="435">
        <v>16</v>
      </c>
      <c r="Q12" s="61">
        <v>17</v>
      </c>
      <c r="R12" s="435">
        <v>18</v>
      </c>
      <c r="S12" s="435">
        <v>19</v>
      </c>
      <c r="T12" s="61">
        <v>20</v>
      </c>
      <c r="U12" s="435">
        <v>21</v>
      </c>
      <c r="V12" s="433">
        <v>22</v>
      </c>
    </row>
    <row r="13" spans="1:22" ht="36.75" customHeight="1">
      <c r="A13" s="97"/>
      <c r="B13" s="437" t="s">
        <v>28</v>
      </c>
      <c r="C13" s="380" t="s">
        <v>1</v>
      </c>
      <c r="D13" s="380" t="s">
        <v>1</v>
      </c>
      <c r="E13" s="380" t="s">
        <v>1</v>
      </c>
      <c r="F13" s="380" t="s">
        <v>1</v>
      </c>
      <c r="G13" s="380" t="s">
        <v>1</v>
      </c>
      <c r="H13" s="380" t="s">
        <v>1</v>
      </c>
      <c r="I13" s="380" t="s">
        <v>1</v>
      </c>
      <c r="J13" s="380" t="s">
        <v>1</v>
      </c>
      <c r="K13" s="380" t="s">
        <v>1</v>
      </c>
      <c r="L13" s="380" t="s">
        <v>1</v>
      </c>
      <c r="M13" s="380" t="s">
        <v>1</v>
      </c>
      <c r="N13" s="380" t="s">
        <v>1</v>
      </c>
      <c r="O13" s="380" t="s">
        <v>1</v>
      </c>
      <c r="P13" s="380"/>
      <c r="Q13" s="380" t="s">
        <v>1</v>
      </c>
      <c r="R13" s="380" t="s">
        <v>1</v>
      </c>
      <c r="S13" s="380" t="s">
        <v>1</v>
      </c>
      <c r="T13" s="380" t="s">
        <v>1</v>
      </c>
      <c r="U13" s="380" t="s">
        <v>1</v>
      </c>
      <c r="V13" s="438" t="s">
        <v>1</v>
      </c>
    </row>
    <row r="14" spans="1:22" ht="36.75" customHeight="1">
      <c r="A14" s="97">
        <v>1</v>
      </c>
      <c r="B14" s="550" t="s">
        <v>543</v>
      </c>
      <c r="C14" s="550" t="s">
        <v>544</v>
      </c>
      <c r="D14" s="550">
        <v>40</v>
      </c>
      <c r="E14" s="380">
        <v>1386</v>
      </c>
      <c r="F14" s="66">
        <v>5</v>
      </c>
      <c r="G14" s="66">
        <v>40</v>
      </c>
      <c r="H14" s="100">
        <v>5</v>
      </c>
      <c r="I14" s="100">
        <f aca="true" t="shared" si="0" ref="I14:I22">F14*G14*H14</f>
        <v>1000</v>
      </c>
      <c r="J14" s="555"/>
      <c r="K14" s="100">
        <f aca="true" t="shared" si="1" ref="K14:K22">(F14-1)*G14*J14</f>
        <v>0</v>
      </c>
      <c r="L14" s="380">
        <v>0.8</v>
      </c>
      <c r="M14" s="100">
        <f aca="true" t="shared" si="2" ref="M14:M22">I14+K14+(L14*G14*2)</f>
        <v>1064</v>
      </c>
      <c r="N14" s="66">
        <v>5</v>
      </c>
      <c r="O14" s="66">
        <v>40</v>
      </c>
      <c r="P14" s="100">
        <v>5</v>
      </c>
      <c r="Q14" s="100">
        <f aca="true" t="shared" si="3" ref="Q14:Q22">N14*O14*P14</f>
        <v>1000</v>
      </c>
      <c r="R14" s="555">
        <v>5</v>
      </c>
      <c r="S14" s="100">
        <f aca="true" t="shared" si="4" ref="S14:S22">(N14-1)*O14*R14</f>
        <v>800</v>
      </c>
      <c r="T14" s="380">
        <v>0.8</v>
      </c>
      <c r="U14" s="440">
        <f aca="true" t="shared" si="5" ref="U14:U24">Q14+S14+(T14*O14*2)</f>
        <v>1864</v>
      </c>
      <c r="V14" s="441">
        <f aca="true" t="shared" si="6" ref="V14:V24">U14-M14</f>
        <v>800</v>
      </c>
    </row>
    <row r="15" spans="1:22" ht="36.75" customHeight="1">
      <c r="A15" s="97">
        <v>2</v>
      </c>
      <c r="B15" s="99" t="s">
        <v>545</v>
      </c>
      <c r="C15" s="551" t="s">
        <v>546</v>
      </c>
      <c r="D15" s="550">
        <v>25</v>
      </c>
      <c r="E15" s="380">
        <v>866</v>
      </c>
      <c r="F15" s="66">
        <v>8</v>
      </c>
      <c r="G15" s="66">
        <v>25</v>
      </c>
      <c r="H15" s="100">
        <v>5</v>
      </c>
      <c r="I15" s="100">
        <f t="shared" si="0"/>
        <v>1000</v>
      </c>
      <c r="J15" s="555"/>
      <c r="K15" s="100">
        <f t="shared" si="1"/>
        <v>0</v>
      </c>
      <c r="L15" s="556">
        <v>1</v>
      </c>
      <c r="M15" s="100">
        <f t="shared" si="2"/>
        <v>1050</v>
      </c>
      <c r="N15" s="66">
        <v>8</v>
      </c>
      <c r="O15" s="66">
        <v>25</v>
      </c>
      <c r="P15" s="100">
        <v>5</v>
      </c>
      <c r="Q15" s="100">
        <f t="shared" si="3"/>
        <v>1000</v>
      </c>
      <c r="R15" s="555">
        <v>0</v>
      </c>
      <c r="S15" s="100">
        <f t="shared" si="4"/>
        <v>0</v>
      </c>
      <c r="T15" s="556">
        <v>1</v>
      </c>
      <c r="U15" s="440">
        <f t="shared" si="5"/>
        <v>1050</v>
      </c>
      <c r="V15" s="441">
        <f t="shared" si="6"/>
        <v>0</v>
      </c>
    </row>
    <row r="16" spans="1:22" ht="36.75" customHeight="1">
      <c r="A16" s="97">
        <v>3</v>
      </c>
      <c r="B16" s="99" t="s">
        <v>547</v>
      </c>
      <c r="C16" s="551" t="s">
        <v>546</v>
      </c>
      <c r="D16" s="550">
        <v>25</v>
      </c>
      <c r="E16" s="380">
        <v>893.7</v>
      </c>
      <c r="F16" s="66">
        <v>8</v>
      </c>
      <c r="G16" s="66">
        <v>25</v>
      </c>
      <c r="H16" s="100">
        <v>5</v>
      </c>
      <c r="I16" s="100">
        <f t="shared" si="0"/>
        <v>1000</v>
      </c>
      <c r="J16" s="555"/>
      <c r="K16" s="100">
        <f t="shared" si="1"/>
        <v>0</v>
      </c>
      <c r="L16" s="556">
        <v>1</v>
      </c>
      <c r="M16" s="100">
        <f t="shared" si="2"/>
        <v>1050</v>
      </c>
      <c r="N16" s="66">
        <v>8</v>
      </c>
      <c r="O16" s="66">
        <v>25</v>
      </c>
      <c r="P16" s="100">
        <v>5</v>
      </c>
      <c r="Q16" s="100">
        <f t="shared" si="3"/>
        <v>1000</v>
      </c>
      <c r="R16" s="555">
        <v>5</v>
      </c>
      <c r="S16" s="100">
        <f t="shared" si="4"/>
        <v>875</v>
      </c>
      <c r="T16" s="556">
        <v>1</v>
      </c>
      <c r="U16" s="440">
        <f t="shared" si="5"/>
        <v>1925</v>
      </c>
      <c r="V16" s="441">
        <f t="shared" si="6"/>
        <v>875</v>
      </c>
    </row>
    <row r="17" spans="1:22" ht="36.75" customHeight="1">
      <c r="A17" s="97">
        <v>4</v>
      </c>
      <c r="B17" s="99" t="s">
        <v>548</v>
      </c>
      <c r="C17" s="551" t="s">
        <v>546</v>
      </c>
      <c r="D17" s="550">
        <v>15</v>
      </c>
      <c r="E17" s="380">
        <v>520</v>
      </c>
      <c r="F17" s="66">
        <v>7</v>
      </c>
      <c r="G17" s="66">
        <v>15</v>
      </c>
      <c r="H17" s="100">
        <v>5</v>
      </c>
      <c r="I17" s="100">
        <f t="shared" si="0"/>
        <v>525</v>
      </c>
      <c r="J17" s="555"/>
      <c r="K17" s="100">
        <f t="shared" si="1"/>
        <v>0</v>
      </c>
      <c r="L17" s="556">
        <v>0.8</v>
      </c>
      <c r="M17" s="100">
        <f t="shared" si="2"/>
        <v>549</v>
      </c>
      <c r="N17" s="66">
        <v>7</v>
      </c>
      <c r="O17" s="66">
        <v>15</v>
      </c>
      <c r="P17" s="100">
        <v>5</v>
      </c>
      <c r="Q17" s="100">
        <f t="shared" si="3"/>
        <v>525</v>
      </c>
      <c r="R17" s="555">
        <v>0</v>
      </c>
      <c r="S17" s="100">
        <f t="shared" si="4"/>
        <v>0</v>
      </c>
      <c r="T17" s="556">
        <v>0.8</v>
      </c>
      <c r="U17" s="440">
        <f t="shared" si="5"/>
        <v>549</v>
      </c>
      <c r="V17" s="441">
        <f t="shared" si="6"/>
        <v>0</v>
      </c>
    </row>
    <row r="18" spans="1:22" ht="36.75" customHeight="1">
      <c r="A18" s="97">
        <v>5</v>
      </c>
      <c r="B18" s="552" t="s">
        <v>549</v>
      </c>
      <c r="C18" s="551" t="s">
        <v>546</v>
      </c>
      <c r="D18" s="550">
        <v>15</v>
      </c>
      <c r="E18" s="553">
        <v>448</v>
      </c>
      <c r="F18" s="66">
        <v>7</v>
      </c>
      <c r="G18" s="66">
        <v>14</v>
      </c>
      <c r="H18" s="100">
        <v>5</v>
      </c>
      <c r="I18" s="100">
        <f t="shared" si="0"/>
        <v>490</v>
      </c>
      <c r="J18" s="555"/>
      <c r="K18" s="100">
        <f t="shared" si="1"/>
        <v>0</v>
      </c>
      <c r="L18" s="556">
        <v>0.8</v>
      </c>
      <c r="M18" s="100">
        <f t="shared" si="2"/>
        <v>512.4</v>
      </c>
      <c r="N18" s="66">
        <v>7</v>
      </c>
      <c r="O18" s="66">
        <v>14</v>
      </c>
      <c r="P18" s="100">
        <v>5</v>
      </c>
      <c r="Q18" s="100">
        <f t="shared" si="3"/>
        <v>490</v>
      </c>
      <c r="R18" s="555">
        <v>0</v>
      </c>
      <c r="S18" s="100">
        <f t="shared" si="4"/>
        <v>0</v>
      </c>
      <c r="T18" s="556">
        <v>0.8</v>
      </c>
      <c r="U18" s="440">
        <f t="shared" si="5"/>
        <v>512.4</v>
      </c>
      <c r="V18" s="441">
        <f t="shared" si="6"/>
        <v>0</v>
      </c>
    </row>
    <row r="19" spans="1:22" ht="36.75" customHeight="1">
      <c r="A19" s="97">
        <v>6</v>
      </c>
      <c r="B19" s="552" t="s">
        <v>550</v>
      </c>
      <c r="C19" s="551" t="s">
        <v>546</v>
      </c>
      <c r="D19" s="550">
        <v>12</v>
      </c>
      <c r="E19" s="553">
        <v>420</v>
      </c>
      <c r="F19" s="66">
        <v>6</v>
      </c>
      <c r="G19" s="66">
        <v>12</v>
      </c>
      <c r="H19" s="100">
        <v>5</v>
      </c>
      <c r="I19" s="100">
        <f t="shared" si="0"/>
        <v>360</v>
      </c>
      <c r="J19" s="555"/>
      <c r="K19" s="100">
        <f t="shared" si="1"/>
        <v>0</v>
      </c>
      <c r="L19" s="556">
        <v>1</v>
      </c>
      <c r="M19" s="100">
        <f t="shared" si="2"/>
        <v>384</v>
      </c>
      <c r="N19" s="66">
        <v>6</v>
      </c>
      <c r="O19" s="66">
        <v>12</v>
      </c>
      <c r="P19" s="100">
        <v>5</v>
      </c>
      <c r="Q19" s="100">
        <f t="shared" si="3"/>
        <v>360</v>
      </c>
      <c r="R19" s="555">
        <v>0</v>
      </c>
      <c r="S19" s="100">
        <f t="shared" si="4"/>
        <v>0</v>
      </c>
      <c r="T19" s="556">
        <v>1</v>
      </c>
      <c r="U19" s="440">
        <f t="shared" si="5"/>
        <v>384</v>
      </c>
      <c r="V19" s="441">
        <f t="shared" si="6"/>
        <v>0</v>
      </c>
    </row>
    <row r="20" spans="1:22" ht="36.75" customHeight="1">
      <c r="A20" s="97">
        <v>7</v>
      </c>
      <c r="B20" s="552" t="s">
        <v>551</v>
      </c>
      <c r="C20" s="551" t="s">
        <v>546</v>
      </c>
      <c r="D20" s="550">
        <v>12</v>
      </c>
      <c r="E20" s="553">
        <v>480</v>
      </c>
      <c r="F20" s="66">
        <v>6</v>
      </c>
      <c r="G20" s="66">
        <v>12</v>
      </c>
      <c r="H20" s="100">
        <v>5</v>
      </c>
      <c r="I20" s="100">
        <f t="shared" si="0"/>
        <v>360</v>
      </c>
      <c r="J20" s="555"/>
      <c r="K20" s="100">
        <f t="shared" si="1"/>
        <v>0</v>
      </c>
      <c r="L20" s="556">
        <v>1</v>
      </c>
      <c r="M20" s="100">
        <f t="shared" si="2"/>
        <v>384</v>
      </c>
      <c r="N20" s="66">
        <v>6</v>
      </c>
      <c r="O20" s="66">
        <v>12</v>
      </c>
      <c r="P20" s="100">
        <v>5</v>
      </c>
      <c r="Q20" s="100">
        <f t="shared" si="3"/>
        <v>360</v>
      </c>
      <c r="R20" s="555">
        <v>5</v>
      </c>
      <c r="S20" s="100">
        <f t="shared" si="4"/>
        <v>300</v>
      </c>
      <c r="T20" s="556">
        <v>1</v>
      </c>
      <c r="U20" s="440">
        <f t="shared" si="5"/>
        <v>684</v>
      </c>
      <c r="V20" s="441">
        <f t="shared" si="6"/>
        <v>300</v>
      </c>
    </row>
    <row r="21" spans="1:22" ht="36.75" customHeight="1">
      <c r="A21" s="97">
        <v>8</v>
      </c>
      <c r="B21" s="552" t="s">
        <v>552</v>
      </c>
      <c r="C21" s="551" t="s">
        <v>553</v>
      </c>
      <c r="D21" s="550">
        <v>20</v>
      </c>
      <c r="E21" s="553">
        <v>40</v>
      </c>
      <c r="F21" s="66">
        <v>6</v>
      </c>
      <c r="G21" s="66">
        <v>20</v>
      </c>
      <c r="H21" s="100"/>
      <c r="I21" s="100">
        <f t="shared" si="0"/>
        <v>0</v>
      </c>
      <c r="J21" s="555"/>
      <c r="K21" s="100">
        <f t="shared" si="1"/>
        <v>0</v>
      </c>
      <c r="L21" s="556">
        <v>0.5</v>
      </c>
      <c r="M21" s="100">
        <f t="shared" si="2"/>
        <v>20</v>
      </c>
      <c r="N21" s="66">
        <v>6</v>
      </c>
      <c r="O21" s="66">
        <v>20</v>
      </c>
      <c r="P21" s="100"/>
      <c r="Q21" s="100">
        <f t="shared" si="3"/>
        <v>0</v>
      </c>
      <c r="R21" s="555"/>
      <c r="S21" s="100">
        <f t="shared" si="4"/>
        <v>0</v>
      </c>
      <c r="T21" s="556">
        <v>0.5</v>
      </c>
      <c r="U21" s="440">
        <f t="shared" si="5"/>
        <v>20</v>
      </c>
      <c r="V21" s="441">
        <f t="shared" si="6"/>
        <v>0</v>
      </c>
    </row>
    <row r="22" spans="1:22" ht="36.75" customHeight="1">
      <c r="A22" s="97">
        <v>9</v>
      </c>
      <c r="B22" s="552" t="s">
        <v>554</v>
      </c>
      <c r="C22" s="551" t="s">
        <v>553</v>
      </c>
      <c r="D22" s="550">
        <v>10</v>
      </c>
      <c r="E22" s="553">
        <v>150</v>
      </c>
      <c r="F22" s="66">
        <v>7</v>
      </c>
      <c r="G22" s="66">
        <v>10</v>
      </c>
      <c r="H22" s="100">
        <v>5</v>
      </c>
      <c r="I22" s="100">
        <f t="shared" si="0"/>
        <v>350</v>
      </c>
      <c r="J22" s="555"/>
      <c r="K22" s="100">
        <f t="shared" si="1"/>
        <v>0</v>
      </c>
      <c r="L22" s="556">
        <v>0.8</v>
      </c>
      <c r="M22" s="100">
        <f t="shared" si="2"/>
        <v>366</v>
      </c>
      <c r="N22" s="66">
        <v>7</v>
      </c>
      <c r="O22" s="66">
        <v>10</v>
      </c>
      <c r="P22" s="100">
        <v>5</v>
      </c>
      <c r="Q22" s="100">
        <f t="shared" si="3"/>
        <v>350</v>
      </c>
      <c r="R22" s="555">
        <v>0</v>
      </c>
      <c r="S22" s="100">
        <f t="shared" si="4"/>
        <v>0</v>
      </c>
      <c r="T22" s="556">
        <v>0.8</v>
      </c>
      <c r="U22" s="440">
        <f t="shared" si="5"/>
        <v>366</v>
      </c>
      <c r="V22" s="441">
        <f t="shared" si="6"/>
        <v>0</v>
      </c>
    </row>
    <row r="23" spans="1:22" ht="18.75" customHeight="1">
      <c r="A23" s="98">
        <v>10</v>
      </c>
      <c r="B23" s="552" t="s">
        <v>555</v>
      </c>
      <c r="C23" s="551" t="s">
        <v>546</v>
      </c>
      <c r="D23" s="550">
        <v>40</v>
      </c>
      <c r="E23" s="553">
        <v>30</v>
      </c>
      <c r="F23" s="66">
        <v>8</v>
      </c>
      <c r="G23" s="66">
        <v>34</v>
      </c>
      <c r="H23" s="100"/>
      <c r="I23" s="100">
        <f>F23*G23*H23</f>
        <v>0</v>
      </c>
      <c r="J23" s="555"/>
      <c r="K23" s="100">
        <f>(F23-1)*G23*J23</f>
        <v>0</v>
      </c>
      <c r="L23" s="556">
        <v>0.3</v>
      </c>
      <c r="M23" s="100">
        <f>I23+K23+(L23*G23*2)</f>
        <v>20.4</v>
      </c>
      <c r="N23" s="66">
        <v>8</v>
      </c>
      <c r="O23" s="66">
        <v>34</v>
      </c>
      <c r="P23" s="100"/>
      <c r="Q23" s="100">
        <f>N23*O23*P23</f>
        <v>0</v>
      </c>
      <c r="R23" s="555"/>
      <c r="S23" s="100">
        <f>(N23-1)*O23*R23</f>
        <v>0</v>
      </c>
      <c r="T23" s="556">
        <v>0.3</v>
      </c>
      <c r="U23" s="440">
        <f t="shared" si="5"/>
        <v>20.4</v>
      </c>
      <c r="V23" s="441">
        <f t="shared" si="6"/>
        <v>0</v>
      </c>
    </row>
    <row r="24" spans="1:22" ht="18.75" customHeight="1">
      <c r="A24" s="98">
        <v>11</v>
      </c>
      <c r="B24" s="102" t="s">
        <v>556</v>
      </c>
      <c r="C24" s="551" t="s">
        <v>546</v>
      </c>
      <c r="D24" s="550">
        <v>20</v>
      </c>
      <c r="E24" s="554">
        <v>60</v>
      </c>
      <c r="F24" s="66">
        <v>8</v>
      </c>
      <c r="G24" s="66">
        <v>20</v>
      </c>
      <c r="H24" s="100"/>
      <c r="I24" s="100">
        <f>F24*G24*H24</f>
        <v>0</v>
      </c>
      <c r="J24" s="555"/>
      <c r="K24" s="100">
        <f>(F24-1)*G24*J24</f>
        <v>0</v>
      </c>
      <c r="L24" s="556">
        <v>0.2</v>
      </c>
      <c r="M24" s="100">
        <f>I24+K24+(L24*G24*2)</f>
        <v>8</v>
      </c>
      <c r="N24" s="66">
        <v>8</v>
      </c>
      <c r="O24" s="66">
        <v>20</v>
      </c>
      <c r="P24" s="100"/>
      <c r="Q24" s="100">
        <f>N24*O24*P24</f>
        <v>0</v>
      </c>
      <c r="R24" s="555"/>
      <c r="S24" s="100">
        <f>(N24-1)*O24*R24</f>
        <v>0</v>
      </c>
      <c r="T24" s="556">
        <v>0.2</v>
      </c>
      <c r="U24" s="440">
        <f t="shared" si="5"/>
        <v>8</v>
      </c>
      <c r="V24" s="441">
        <f t="shared" si="6"/>
        <v>0</v>
      </c>
    </row>
    <row r="25" spans="1:22" ht="18.75" customHeight="1" thickBot="1">
      <c r="A25" s="101">
        <v>12</v>
      </c>
      <c r="B25" s="102" t="s">
        <v>557</v>
      </c>
      <c r="C25" s="551" t="s">
        <v>546</v>
      </c>
      <c r="D25" s="550">
        <v>15</v>
      </c>
      <c r="E25" s="554">
        <v>563.1</v>
      </c>
      <c r="F25" s="66">
        <v>6</v>
      </c>
      <c r="G25" s="66">
        <v>15</v>
      </c>
      <c r="H25" s="440">
        <v>5</v>
      </c>
      <c r="I25" s="440">
        <f>F25*G25*H25</f>
        <v>450</v>
      </c>
      <c r="J25" s="555"/>
      <c r="K25" s="440">
        <f>(F25-1)*G25*J25</f>
        <v>0</v>
      </c>
      <c r="L25" s="556">
        <v>1.2</v>
      </c>
      <c r="M25" s="440">
        <f>I25+K25+(L25*G25*2)</f>
        <v>486</v>
      </c>
      <c r="N25" s="66">
        <v>6</v>
      </c>
      <c r="O25" s="66">
        <v>15</v>
      </c>
      <c r="P25" s="440">
        <v>5</v>
      </c>
      <c r="Q25" s="440">
        <f>N25*O25*P25</f>
        <v>450</v>
      </c>
      <c r="R25" s="555">
        <v>5</v>
      </c>
      <c r="S25" s="440">
        <f>(N25-1)*O25*R25</f>
        <v>375</v>
      </c>
      <c r="T25" s="556">
        <v>1.2</v>
      </c>
      <c r="U25" s="440">
        <f>Q25+S25+(T25*O25*2)</f>
        <v>861</v>
      </c>
      <c r="V25" s="441">
        <f>U25-M25</f>
        <v>375</v>
      </c>
    </row>
    <row r="26" spans="1:22" ht="29.25" customHeight="1" thickBot="1">
      <c r="A26" s="103"/>
      <c r="B26" s="104" t="s">
        <v>374</v>
      </c>
      <c r="C26" s="104"/>
      <c r="D26" s="104"/>
      <c r="E26" s="106">
        <f>SUM(E13:E25)</f>
        <v>5856.8</v>
      </c>
      <c r="F26" s="106"/>
      <c r="G26" s="106"/>
      <c r="H26" s="106"/>
      <c r="I26" s="106">
        <f>SUM(I13:I25)</f>
        <v>5535</v>
      </c>
      <c r="J26" s="106"/>
      <c r="K26" s="106">
        <f>SUM(K13:K25)</f>
        <v>0</v>
      </c>
      <c r="L26" s="106"/>
      <c r="M26" s="106">
        <f>SUM(M13:M25)</f>
        <v>5893.799999999999</v>
      </c>
      <c r="N26" s="105"/>
      <c r="O26" s="105"/>
      <c r="P26" s="105"/>
      <c r="Q26" s="106">
        <f>SUM(Q13:Q25)</f>
        <v>5535</v>
      </c>
      <c r="R26" s="106"/>
      <c r="S26" s="106">
        <f>SUM(S13:S25)</f>
        <v>2350</v>
      </c>
      <c r="T26" s="106"/>
      <c r="U26" s="106">
        <f>SUM(U13:U25)</f>
        <v>8243.8</v>
      </c>
      <c r="V26" s="107">
        <f>SUM(V13:V25)</f>
        <v>2350</v>
      </c>
    </row>
    <row r="27" spans="1:22" ht="45.75" customHeight="1">
      <c r="A27" s="97"/>
      <c r="B27" s="437" t="s">
        <v>407</v>
      </c>
      <c r="C27" s="380" t="s">
        <v>1</v>
      </c>
      <c r="D27" s="380" t="s">
        <v>1</v>
      </c>
      <c r="E27" s="380" t="s">
        <v>1</v>
      </c>
      <c r="F27" s="380" t="s">
        <v>1</v>
      </c>
      <c r="G27" s="380" t="s">
        <v>1</v>
      </c>
      <c r="H27" s="380" t="s">
        <v>1</v>
      </c>
      <c r="I27" s="380" t="s">
        <v>1</v>
      </c>
      <c r="J27" s="380" t="s">
        <v>1</v>
      </c>
      <c r="K27" s="380" t="s">
        <v>1</v>
      </c>
      <c r="L27" s="380" t="s">
        <v>1</v>
      </c>
      <c r="M27" s="380" t="s">
        <v>1</v>
      </c>
      <c r="N27" s="380" t="s">
        <v>1</v>
      </c>
      <c r="O27" s="380" t="s">
        <v>1</v>
      </c>
      <c r="P27" s="380"/>
      <c r="Q27" s="380" t="s">
        <v>1</v>
      </c>
      <c r="R27" s="380" t="s">
        <v>1</v>
      </c>
      <c r="S27" s="380" t="s">
        <v>1</v>
      </c>
      <c r="T27" s="380" t="s">
        <v>1</v>
      </c>
      <c r="U27" s="380" t="s">
        <v>1</v>
      </c>
      <c r="V27" s="438" t="s">
        <v>1</v>
      </c>
    </row>
    <row r="28" spans="1:22" ht="16.5" customHeight="1">
      <c r="A28" s="98">
        <v>1</v>
      </c>
      <c r="B28" s="99" t="s">
        <v>558</v>
      </c>
      <c r="C28" s="99" t="s">
        <v>559</v>
      </c>
      <c r="D28" s="99">
        <v>2</v>
      </c>
      <c r="E28" s="99">
        <v>1020</v>
      </c>
      <c r="F28" s="366">
        <v>4</v>
      </c>
      <c r="G28" s="366">
        <v>2</v>
      </c>
      <c r="H28" s="366">
        <v>16.5</v>
      </c>
      <c r="I28" s="100">
        <f>F28*G28*H28</f>
        <v>132</v>
      </c>
      <c r="J28" s="100">
        <v>27</v>
      </c>
      <c r="K28" s="100">
        <f>(F28-1)*G28*J28</f>
        <v>162</v>
      </c>
      <c r="L28" s="366">
        <v>266.5</v>
      </c>
      <c r="M28" s="100">
        <f>I28+K28+(L28*G28*2)</f>
        <v>1360</v>
      </c>
      <c r="N28" s="366">
        <v>4</v>
      </c>
      <c r="O28" s="366">
        <v>2</v>
      </c>
      <c r="P28" s="366">
        <v>16.5</v>
      </c>
      <c r="Q28" s="100">
        <f>N28*O28*P28</f>
        <v>132</v>
      </c>
      <c r="R28" s="100">
        <v>27</v>
      </c>
      <c r="S28" s="100">
        <f>(N28-1)*O28*R28</f>
        <v>162</v>
      </c>
      <c r="T28" s="366">
        <v>266.5</v>
      </c>
      <c r="U28" s="100">
        <f>Q28+S28+(T28*O28*2)</f>
        <v>1360</v>
      </c>
      <c r="V28" s="439">
        <f>U28-M28</f>
        <v>0</v>
      </c>
    </row>
    <row r="29" spans="1:22" ht="16.5" customHeight="1">
      <c r="A29" s="98">
        <v>2</v>
      </c>
      <c r="B29" s="99"/>
      <c r="C29" s="99"/>
      <c r="D29" s="99"/>
      <c r="E29" s="99"/>
      <c r="F29" s="366"/>
      <c r="G29" s="366"/>
      <c r="H29" s="366"/>
      <c r="I29" s="100">
        <f>F29*G29*H29</f>
        <v>0</v>
      </c>
      <c r="J29" s="100"/>
      <c r="K29" s="100">
        <f>(F29-1)*G29*J29</f>
        <v>0</v>
      </c>
      <c r="L29" s="366"/>
      <c r="M29" s="100">
        <f>I29+K29+(L29*G29*2)</f>
        <v>0</v>
      </c>
      <c r="N29" s="366"/>
      <c r="O29" s="366"/>
      <c r="P29" s="366"/>
      <c r="Q29" s="100">
        <f>N29*O29*P29</f>
        <v>0</v>
      </c>
      <c r="R29" s="100"/>
      <c r="S29" s="100">
        <f>(N29-1)*O29*R29</f>
        <v>0</v>
      </c>
      <c r="T29" s="366"/>
      <c r="U29" s="100">
        <f>Q29+S29+(T29*O29*2)</f>
        <v>0</v>
      </c>
      <c r="V29" s="439">
        <f>U29-M29</f>
        <v>0</v>
      </c>
    </row>
    <row r="30" spans="1:22" ht="16.5" customHeight="1" thickBot="1">
      <c r="A30" s="101">
        <v>3</v>
      </c>
      <c r="B30" s="102"/>
      <c r="C30" s="102"/>
      <c r="D30" s="102"/>
      <c r="E30" s="102"/>
      <c r="F30" s="307"/>
      <c r="G30" s="307"/>
      <c r="H30" s="307"/>
      <c r="I30" s="440">
        <f>F30*G30*H30</f>
        <v>0</v>
      </c>
      <c r="J30" s="440"/>
      <c r="K30" s="440">
        <f>(F30-1)*G30*J30</f>
        <v>0</v>
      </c>
      <c r="L30" s="307"/>
      <c r="M30" s="440">
        <f>I30+K30+(L30*G30*2)</f>
        <v>0</v>
      </c>
      <c r="N30" s="307"/>
      <c r="O30" s="307"/>
      <c r="P30" s="307"/>
      <c r="Q30" s="440">
        <f>N30*O30*P30</f>
        <v>0</v>
      </c>
      <c r="R30" s="440"/>
      <c r="S30" s="440">
        <f>(N30-1)*O30*R30</f>
        <v>0</v>
      </c>
      <c r="T30" s="307"/>
      <c r="U30" s="440">
        <f>Q30+S30+(T30*O30*2)</f>
        <v>0</v>
      </c>
      <c r="V30" s="441">
        <f>U30-M30</f>
        <v>0</v>
      </c>
    </row>
    <row r="31" spans="1:22" ht="30.75" customHeight="1" thickBot="1">
      <c r="A31" s="103"/>
      <c r="B31" s="104" t="s">
        <v>375</v>
      </c>
      <c r="C31" s="104"/>
      <c r="D31" s="104"/>
      <c r="E31" s="104"/>
      <c r="F31" s="105"/>
      <c r="G31" s="105"/>
      <c r="H31" s="105"/>
      <c r="I31" s="106">
        <f>SUM(I27:I30)</f>
        <v>132</v>
      </c>
      <c r="J31" s="106"/>
      <c r="K31" s="106">
        <f>SUM(K27:K30)</f>
        <v>162</v>
      </c>
      <c r="L31" s="106"/>
      <c r="M31" s="106">
        <f>SUM(M27:M30)</f>
        <v>1360</v>
      </c>
      <c r="N31" s="105"/>
      <c r="O31" s="105"/>
      <c r="P31" s="105"/>
      <c r="Q31" s="106">
        <f>SUM(Q27:Q30)</f>
        <v>132</v>
      </c>
      <c r="R31" s="106"/>
      <c r="S31" s="106">
        <f>SUM(S27:S30)</f>
        <v>162</v>
      </c>
      <c r="T31" s="106"/>
      <c r="U31" s="106">
        <f>SUM(U27:U30)</f>
        <v>1360</v>
      </c>
      <c r="V31" s="107">
        <f>SUM(V27:V30)</f>
        <v>0</v>
      </c>
    </row>
    <row r="32" spans="2:21" ht="14.25">
      <c r="B32" s="108"/>
      <c r="C32" s="108"/>
      <c r="D32" s="108"/>
      <c r="E32" s="108"/>
      <c r="F32" s="109"/>
      <c r="G32" s="110"/>
      <c r="H32" s="110"/>
      <c r="I32" s="110"/>
      <c r="J32" s="110"/>
      <c r="K32" s="110"/>
      <c r="L32" s="110"/>
      <c r="M32" s="110"/>
      <c r="N32" s="109"/>
      <c r="O32" s="110"/>
      <c r="P32" s="110"/>
      <c r="Q32" s="110"/>
      <c r="R32" s="110"/>
      <c r="S32" s="110"/>
      <c r="T32" s="110"/>
      <c r="U32" s="110"/>
    </row>
  </sheetData>
  <sheetProtection/>
  <mergeCells count="20">
    <mergeCell ref="V1:W1"/>
    <mergeCell ref="X1:Z1"/>
    <mergeCell ref="X2:Z2"/>
    <mergeCell ref="B4:M4"/>
    <mergeCell ref="J10:K10"/>
    <mergeCell ref="D9:E9"/>
    <mergeCell ref="P10:Q10"/>
    <mergeCell ref="B3:F3"/>
    <mergeCell ref="S2:U2"/>
    <mergeCell ref="V2:W2"/>
    <mergeCell ref="R10:S10"/>
    <mergeCell ref="B6:M6"/>
    <mergeCell ref="U8:V8"/>
    <mergeCell ref="A9:A11"/>
    <mergeCell ref="B9:B11"/>
    <mergeCell ref="C9:C11"/>
    <mergeCell ref="F9:M9"/>
    <mergeCell ref="N9:U9"/>
    <mergeCell ref="V9:V11"/>
    <mergeCell ref="H10:I10"/>
  </mergeCells>
  <printOptions/>
  <pageMargins left="0.33" right="0.24" top="0.29" bottom="0.25" header="0.22" footer="0.1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71"/>
  <sheetViews>
    <sheetView showGridLines="0" zoomScalePageLayoutView="0" workbookViewId="0" topLeftCell="A1">
      <selection activeCell="B4" sqref="B4:F4"/>
    </sheetView>
  </sheetViews>
  <sheetFormatPr defaultColWidth="9.140625" defaultRowHeight="12.75"/>
  <cols>
    <col min="2" max="2" width="44.421875" style="0" customWidth="1"/>
    <col min="3" max="3" width="18.57421875" style="0" customWidth="1"/>
    <col min="4" max="5" width="15.421875" style="0" customWidth="1"/>
    <col min="6" max="6" width="16.00390625" style="0" customWidth="1"/>
    <col min="7" max="7" width="15.8515625" style="0" customWidth="1"/>
    <col min="8" max="8" width="11.7109375" style="0" customWidth="1"/>
    <col min="9" max="9" width="12.7109375" style="0" customWidth="1"/>
    <col min="10" max="10" width="23.00390625" style="0" customWidth="1"/>
    <col min="11" max="14" width="15.421875" style="0" customWidth="1"/>
    <col min="15" max="15" width="12.7109375" style="0" customWidth="1"/>
    <col min="16" max="16" width="12.00390625" style="0" customWidth="1"/>
    <col min="17" max="17" width="14.8515625" style="0" customWidth="1"/>
    <col min="18" max="18" width="17.7109375" style="0" customWidth="1"/>
    <col min="19" max="20" width="15.00390625" style="0" customWidth="1"/>
    <col min="21" max="21" width="15.00390625" style="499" customWidth="1"/>
    <col min="22" max="22" width="20.28125" style="0" customWidth="1"/>
    <col min="23" max="23" width="43.00390625" style="0" customWidth="1"/>
  </cols>
  <sheetData>
    <row r="2" spans="1:13" ht="13.5">
      <c r="A2" s="225"/>
      <c r="B2" s="217"/>
      <c r="C2" s="217"/>
      <c r="D2" s="217"/>
      <c r="E2" s="217"/>
      <c r="F2" s="217"/>
      <c r="G2" s="217"/>
      <c r="H2" s="226"/>
      <c r="I2" s="227"/>
      <c r="K2" s="27"/>
      <c r="L2" s="86" t="s">
        <v>86</v>
      </c>
      <c r="M2" s="86"/>
    </row>
    <row r="3" spans="1:13" ht="13.5">
      <c r="A3" s="225"/>
      <c r="B3" s="217"/>
      <c r="C3" s="217"/>
      <c r="D3" s="217"/>
      <c r="E3" s="217"/>
      <c r="F3" s="217"/>
      <c r="G3" s="217"/>
      <c r="H3" s="226"/>
      <c r="I3" s="227"/>
      <c r="K3" s="632" t="s">
        <v>10</v>
      </c>
      <c r="L3" s="632"/>
      <c r="M3" s="632"/>
    </row>
    <row r="4" spans="1:13" ht="15" thickBot="1">
      <c r="A4" s="27"/>
      <c r="B4" s="624" t="s">
        <v>947</v>
      </c>
      <c r="C4" s="624"/>
      <c r="D4" s="624"/>
      <c r="E4" s="624"/>
      <c r="F4" s="624"/>
      <c r="G4" s="228"/>
      <c r="H4" s="194"/>
      <c r="I4" s="229"/>
      <c r="K4" s="28"/>
      <c r="L4" s="28"/>
      <c r="M4" s="28"/>
    </row>
    <row r="5" spans="1:13" ht="13.5">
      <c r="A5" s="27"/>
      <c r="B5" s="230"/>
      <c r="C5" s="230"/>
      <c r="D5" s="230"/>
      <c r="E5" s="230"/>
      <c r="F5" s="4"/>
      <c r="G5" s="4"/>
      <c r="H5" s="4"/>
      <c r="I5" s="4"/>
      <c r="K5" s="4"/>
      <c r="L5" s="4"/>
      <c r="M5" s="4"/>
    </row>
    <row r="6" spans="1:13" ht="13.5">
      <c r="A6" s="27"/>
      <c r="B6" s="498"/>
      <c r="C6" s="498"/>
      <c r="D6" s="498"/>
      <c r="E6" s="498"/>
      <c r="F6" s="4"/>
      <c r="G6" s="4"/>
      <c r="H6" s="4"/>
      <c r="I6" s="4"/>
      <c r="K6" s="4"/>
      <c r="L6" s="4"/>
      <c r="M6" s="4"/>
    </row>
    <row r="7" spans="1:13" ht="14.25">
      <c r="A7" s="94" t="s">
        <v>87</v>
      </c>
      <c r="B7" s="94"/>
      <c r="C7" s="94"/>
      <c r="D7" s="94"/>
      <c r="E7" s="94"/>
      <c r="F7" s="4"/>
      <c r="G7" s="4"/>
      <c r="H7" s="4"/>
      <c r="I7" s="4"/>
      <c r="K7" s="4"/>
      <c r="L7" s="4"/>
      <c r="M7" s="4"/>
    </row>
    <row r="8" spans="1:13" ht="14.25">
      <c r="A8" s="94" t="s">
        <v>477</v>
      </c>
      <c r="B8" s="94"/>
      <c r="C8" s="94"/>
      <c r="D8" s="94"/>
      <c r="E8" s="94"/>
      <c r="F8" s="4"/>
      <c r="G8" s="4"/>
      <c r="H8" s="4"/>
      <c r="I8" s="4"/>
      <c r="K8" s="4"/>
      <c r="L8" s="4"/>
      <c r="M8" s="4"/>
    </row>
    <row r="9" spans="1:13" ht="15" thickBot="1">
      <c r="A9" s="94"/>
      <c r="B9" s="232"/>
      <c r="C9" s="94"/>
      <c r="D9" s="94"/>
      <c r="E9" s="94"/>
      <c r="F9" s="4"/>
      <c r="G9" s="4"/>
      <c r="H9" s="4"/>
      <c r="I9" s="4"/>
      <c r="K9" s="4"/>
      <c r="L9" s="4"/>
      <c r="M9" s="4"/>
    </row>
    <row r="10" spans="2:13" ht="15" thickBot="1">
      <c r="B10" s="405" t="s">
        <v>478</v>
      </c>
      <c r="C10" s="405"/>
      <c r="D10" s="405"/>
      <c r="E10" s="406">
        <v>4</v>
      </c>
      <c r="F10" s="4"/>
      <c r="G10" s="4"/>
      <c r="H10" s="4"/>
      <c r="I10" s="4"/>
      <c r="K10" s="4"/>
      <c r="L10" s="4"/>
      <c r="M10" s="4"/>
    </row>
    <row r="11" spans="2:13" ht="15" thickBot="1">
      <c r="B11" s="407"/>
      <c r="C11" s="408"/>
      <c r="D11" s="408"/>
      <c r="E11" s="94"/>
      <c r="F11" s="4"/>
      <c r="G11" s="4"/>
      <c r="H11" s="4"/>
      <c r="I11" s="4"/>
      <c r="K11" s="4"/>
      <c r="L11" s="4"/>
      <c r="M11" s="4"/>
    </row>
    <row r="12" spans="2:13" ht="15" thickBot="1">
      <c r="B12" s="405" t="s">
        <v>322</v>
      </c>
      <c r="C12" s="405"/>
      <c r="D12" s="405"/>
      <c r="E12" s="406">
        <v>4</v>
      </c>
      <c r="F12" s="4"/>
      <c r="G12" s="4"/>
      <c r="H12" s="4"/>
      <c r="I12" s="4"/>
      <c r="K12" s="4"/>
      <c r="L12" s="4"/>
      <c r="M12" s="4"/>
    </row>
    <row r="13" spans="2:13" ht="14.25" thickBot="1">
      <c r="B13" s="4"/>
      <c r="C13" s="4"/>
      <c r="D13" s="4"/>
      <c r="E13" s="4"/>
      <c r="F13" s="4"/>
      <c r="G13" s="4"/>
      <c r="H13" s="4"/>
      <c r="I13" s="4"/>
      <c r="K13" s="4"/>
      <c r="L13" s="4"/>
      <c r="M13" s="4"/>
    </row>
    <row r="14" spans="1:23" ht="57.75" customHeight="1" thickBot="1">
      <c r="A14" s="121"/>
      <c r="B14" s="122"/>
      <c r="C14" s="683" t="s">
        <v>306</v>
      </c>
      <c r="D14" s="684"/>
      <c r="E14" s="684"/>
      <c r="F14" s="684"/>
      <c r="G14" s="684"/>
      <c r="H14" s="684"/>
      <c r="I14" s="685"/>
      <c r="J14" s="679" t="s">
        <v>457</v>
      </c>
      <c r="K14" s="676" t="s">
        <v>461</v>
      </c>
      <c r="L14" s="677"/>
      <c r="M14" s="677"/>
      <c r="N14" s="678"/>
      <c r="O14" s="686" t="s">
        <v>414</v>
      </c>
      <c r="P14" s="687"/>
      <c r="Q14" s="687"/>
      <c r="R14" s="688"/>
      <c r="S14" s="686" t="s">
        <v>462</v>
      </c>
      <c r="T14" s="687"/>
      <c r="U14" s="687"/>
      <c r="V14" s="688"/>
      <c r="W14" s="681" t="s">
        <v>463</v>
      </c>
    </row>
    <row r="15" spans="1:23" ht="81.75" thickBot="1">
      <c r="A15" s="123" t="s">
        <v>60</v>
      </c>
      <c r="B15" s="123" t="s">
        <v>422</v>
      </c>
      <c r="C15" s="124" t="s">
        <v>416</v>
      </c>
      <c r="D15" s="124" t="s">
        <v>419</v>
      </c>
      <c r="E15" s="124" t="s">
        <v>421</v>
      </c>
      <c r="F15" s="124" t="s">
        <v>420</v>
      </c>
      <c r="G15" s="124" t="s">
        <v>451</v>
      </c>
      <c r="H15" s="486" t="s">
        <v>418</v>
      </c>
      <c r="I15" s="481" t="s">
        <v>409</v>
      </c>
      <c r="J15" s="680"/>
      <c r="K15" s="481" t="s">
        <v>411</v>
      </c>
      <c r="L15" s="481" t="s">
        <v>412</v>
      </c>
      <c r="M15" s="482" t="s">
        <v>413</v>
      </c>
      <c r="N15" s="481" t="s">
        <v>423</v>
      </c>
      <c r="O15" s="124" t="s">
        <v>419</v>
      </c>
      <c r="P15" s="124" t="s">
        <v>421</v>
      </c>
      <c r="Q15" s="124" t="s">
        <v>420</v>
      </c>
      <c r="R15" s="487" t="s">
        <v>452</v>
      </c>
      <c r="S15" s="124" t="s">
        <v>419</v>
      </c>
      <c r="T15" s="124" t="s">
        <v>421</v>
      </c>
      <c r="U15" s="124" t="s">
        <v>420</v>
      </c>
      <c r="V15" s="506" t="s">
        <v>452</v>
      </c>
      <c r="W15" s="682"/>
    </row>
    <row r="16" spans="1:23" ht="13.5">
      <c r="A16" s="125">
        <v>1</v>
      </c>
      <c r="B16" s="125">
        <v>2</v>
      </c>
      <c r="C16" s="125">
        <v>3</v>
      </c>
      <c r="D16" s="125">
        <v>4</v>
      </c>
      <c r="E16" s="125">
        <v>5</v>
      </c>
      <c r="F16" s="125">
        <v>6</v>
      </c>
      <c r="G16" s="125">
        <v>7</v>
      </c>
      <c r="H16" s="125">
        <v>8</v>
      </c>
      <c r="I16" s="125">
        <v>9</v>
      </c>
      <c r="J16" s="125">
        <v>10</v>
      </c>
      <c r="K16" s="125">
        <v>11</v>
      </c>
      <c r="L16" s="125">
        <v>12</v>
      </c>
      <c r="M16" s="125">
        <v>13</v>
      </c>
      <c r="N16" s="125">
        <v>14</v>
      </c>
      <c r="O16" s="125">
        <v>15</v>
      </c>
      <c r="P16" s="125">
        <v>16</v>
      </c>
      <c r="Q16" s="125">
        <v>17</v>
      </c>
      <c r="R16" s="125">
        <v>18</v>
      </c>
      <c r="S16" s="125">
        <v>19</v>
      </c>
      <c r="T16" s="125">
        <v>20</v>
      </c>
      <c r="U16" s="125">
        <v>21</v>
      </c>
      <c r="V16" s="125">
        <v>22</v>
      </c>
      <c r="W16" s="125">
        <v>23</v>
      </c>
    </row>
    <row r="17" spans="1:23" ht="17.25" hidden="1">
      <c r="A17" s="91"/>
      <c r="B17" s="126"/>
      <c r="C17" s="93"/>
      <c r="D17" s="93"/>
      <c r="E17" s="93"/>
      <c r="F17" s="93"/>
      <c r="G17" s="93"/>
      <c r="H17" s="93"/>
      <c r="I17" s="233">
        <v>2025</v>
      </c>
      <c r="J17" s="50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ht="30">
      <c r="A18" s="381"/>
      <c r="B18" s="485" t="s">
        <v>427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</row>
    <row r="19" spans="1:23" ht="48.75" customHeight="1">
      <c r="A19" s="46">
        <v>1</v>
      </c>
      <c r="B19" s="67" t="s">
        <v>560</v>
      </c>
      <c r="C19" s="67" t="s">
        <v>561</v>
      </c>
      <c r="D19" s="67" t="s">
        <v>445</v>
      </c>
      <c r="E19" s="67" t="s">
        <v>431</v>
      </c>
      <c r="F19" s="67" t="s">
        <v>446</v>
      </c>
      <c r="G19" s="67" t="s">
        <v>441</v>
      </c>
      <c r="H19" s="67">
        <v>2014</v>
      </c>
      <c r="I19" s="480">
        <f>10-($I$17-H19)</f>
        <v>-1</v>
      </c>
      <c r="J19" s="504" t="s">
        <v>456</v>
      </c>
      <c r="K19" s="67">
        <v>1300</v>
      </c>
      <c r="L19" s="67">
        <v>200</v>
      </c>
      <c r="M19" s="48">
        <v>11</v>
      </c>
      <c r="N19" s="48">
        <f>SUM(K19:M19)</f>
        <v>1511</v>
      </c>
      <c r="O19" s="67"/>
      <c r="P19" s="67"/>
      <c r="Q19" s="67"/>
      <c r="R19" s="67"/>
      <c r="S19" s="67" t="s">
        <v>445</v>
      </c>
      <c r="T19" s="67" t="s">
        <v>431</v>
      </c>
      <c r="U19" s="67" t="s">
        <v>446</v>
      </c>
      <c r="V19" s="67">
        <v>15000</v>
      </c>
      <c r="W19" s="504" t="s">
        <v>567</v>
      </c>
    </row>
    <row r="20" spans="1:23" ht="30">
      <c r="A20" s="381"/>
      <c r="B20" s="485" t="s">
        <v>428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</row>
    <row r="21" spans="1:23" ht="40.5">
      <c r="A21" s="46">
        <v>1</v>
      </c>
      <c r="B21" s="67" t="s">
        <v>562</v>
      </c>
      <c r="C21" s="67" t="s">
        <v>565</v>
      </c>
      <c r="D21" s="67" t="s">
        <v>439</v>
      </c>
      <c r="E21" s="67" t="s">
        <v>431</v>
      </c>
      <c r="F21" s="67" t="s">
        <v>443</v>
      </c>
      <c r="G21" s="67" t="s">
        <v>441</v>
      </c>
      <c r="H21" s="67">
        <v>2014</v>
      </c>
      <c r="I21" s="480">
        <f aca="true" t="shared" si="0" ref="I21:I27">10-($I$17-H21)</f>
        <v>-1</v>
      </c>
      <c r="J21" s="504" t="s">
        <v>456</v>
      </c>
      <c r="K21" s="67">
        <v>950</v>
      </c>
      <c r="L21" s="67">
        <v>140</v>
      </c>
      <c r="M21" s="48">
        <v>11</v>
      </c>
      <c r="N21" s="48">
        <f aca="true" t="shared" si="1" ref="N21:N27">SUM(K21:M21)</f>
        <v>1101</v>
      </c>
      <c r="O21" s="67"/>
      <c r="P21" s="67"/>
      <c r="Q21" s="67"/>
      <c r="R21" s="67"/>
      <c r="S21" s="67" t="s">
        <v>439</v>
      </c>
      <c r="T21" s="67" t="s">
        <v>431</v>
      </c>
      <c r="U21" s="67" t="s">
        <v>443</v>
      </c>
      <c r="V21" s="67">
        <v>11000</v>
      </c>
      <c r="W21" s="504" t="s">
        <v>567</v>
      </c>
    </row>
    <row r="22" spans="1:23" ht="13.5">
      <c r="A22" s="46">
        <v>2</v>
      </c>
      <c r="B22" s="67" t="s">
        <v>563</v>
      </c>
      <c r="C22" s="67" t="s">
        <v>565</v>
      </c>
      <c r="D22" s="67" t="s">
        <v>439</v>
      </c>
      <c r="E22" s="67" t="s">
        <v>431</v>
      </c>
      <c r="F22" s="67" t="s">
        <v>443</v>
      </c>
      <c r="G22" s="67" t="s">
        <v>441</v>
      </c>
      <c r="H22" s="67">
        <v>2009</v>
      </c>
      <c r="I22" s="480">
        <f t="shared" si="0"/>
        <v>-6</v>
      </c>
      <c r="J22" s="504"/>
      <c r="K22" s="67">
        <v>950</v>
      </c>
      <c r="L22" s="67">
        <v>136</v>
      </c>
      <c r="M22" s="48">
        <v>11</v>
      </c>
      <c r="N22" s="48">
        <f>SUM(K22:M22)</f>
        <v>1097</v>
      </c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3.5">
      <c r="A23" s="46">
        <v>3</v>
      </c>
      <c r="B23" s="67" t="s">
        <v>564</v>
      </c>
      <c r="C23" s="67" t="s">
        <v>566</v>
      </c>
      <c r="D23" s="67" t="s">
        <v>439</v>
      </c>
      <c r="E23" s="67" t="s">
        <v>431</v>
      </c>
      <c r="F23" s="67" t="s">
        <v>443</v>
      </c>
      <c r="G23" s="67" t="s">
        <v>441</v>
      </c>
      <c r="H23" s="67">
        <v>2010</v>
      </c>
      <c r="I23" s="480">
        <f t="shared" si="0"/>
        <v>-5</v>
      </c>
      <c r="J23" s="504"/>
      <c r="K23" s="67">
        <v>950</v>
      </c>
      <c r="L23" s="67">
        <v>136</v>
      </c>
      <c r="M23" s="48">
        <v>11</v>
      </c>
      <c r="N23" s="48">
        <f t="shared" si="1"/>
        <v>1097</v>
      </c>
      <c r="O23" s="67"/>
      <c r="P23" s="67"/>
      <c r="Q23" s="67"/>
      <c r="R23" s="67"/>
      <c r="S23" s="67"/>
      <c r="T23" s="67"/>
      <c r="U23" s="67"/>
      <c r="V23" s="67"/>
      <c r="W23" s="67"/>
    </row>
    <row r="24" spans="1:23" ht="13.5">
      <c r="A24" s="91">
        <v>4</v>
      </c>
      <c r="B24" s="67"/>
      <c r="C24" s="67"/>
      <c r="D24" s="67"/>
      <c r="E24" s="67"/>
      <c r="F24" s="67"/>
      <c r="G24" s="67"/>
      <c r="H24" s="67"/>
      <c r="I24" s="480">
        <f t="shared" si="0"/>
        <v>-2015</v>
      </c>
      <c r="J24" s="504"/>
      <c r="K24" s="67"/>
      <c r="L24" s="67"/>
      <c r="M24" s="48"/>
      <c r="N24" s="48">
        <f t="shared" si="1"/>
        <v>0</v>
      </c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13.5">
      <c r="A25" s="91">
        <v>5</v>
      </c>
      <c r="B25" s="67"/>
      <c r="C25" s="67"/>
      <c r="D25" s="67"/>
      <c r="E25" s="67"/>
      <c r="F25" s="67"/>
      <c r="G25" s="67"/>
      <c r="H25" s="67"/>
      <c r="I25" s="480">
        <f t="shared" si="0"/>
        <v>-2015</v>
      </c>
      <c r="J25" s="504"/>
      <c r="K25" s="67"/>
      <c r="L25" s="67"/>
      <c r="M25" s="48"/>
      <c r="N25" s="48">
        <f t="shared" si="1"/>
        <v>0</v>
      </c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3.5">
      <c r="A26" s="91">
        <v>6</v>
      </c>
      <c r="B26" s="67"/>
      <c r="C26" s="67"/>
      <c r="D26" s="67"/>
      <c r="E26" s="67"/>
      <c r="F26" s="67"/>
      <c r="G26" s="67"/>
      <c r="H26" s="67"/>
      <c r="I26" s="480">
        <f t="shared" si="0"/>
        <v>-2015</v>
      </c>
      <c r="J26" s="504"/>
      <c r="K26" s="67"/>
      <c r="L26" s="67"/>
      <c r="M26" s="48"/>
      <c r="N26" s="48">
        <f t="shared" si="1"/>
        <v>0</v>
      </c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13.5">
      <c r="A27" s="91">
        <v>7</v>
      </c>
      <c r="B27" s="67"/>
      <c r="C27" s="67"/>
      <c r="D27" s="67"/>
      <c r="E27" s="67"/>
      <c r="F27" s="67"/>
      <c r="G27" s="67"/>
      <c r="H27" s="67"/>
      <c r="I27" s="480">
        <f t="shared" si="0"/>
        <v>-2015</v>
      </c>
      <c r="J27" s="504"/>
      <c r="K27" s="67"/>
      <c r="L27" s="67"/>
      <c r="M27" s="48"/>
      <c r="N27" s="48">
        <f t="shared" si="1"/>
        <v>0</v>
      </c>
      <c r="O27" s="67"/>
      <c r="P27" s="67"/>
      <c r="Q27" s="67"/>
      <c r="R27" s="67"/>
      <c r="S27" s="67"/>
      <c r="T27" s="67"/>
      <c r="U27" s="67"/>
      <c r="V27" s="67"/>
      <c r="W27" s="67"/>
    </row>
    <row r="28" spans="1:23" ht="44.25">
      <c r="A28" s="381"/>
      <c r="B28" s="485" t="s">
        <v>429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</row>
    <row r="29" spans="1:23" ht="13.5">
      <c r="A29" s="46">
        <v>1</v>
      </c>
      <c r="B29" s="67"/>
      <c r="C29" s="67"/>
      <c r="D29" s="67"/>
      <c r="E29" s="67"/>
      <c r="F29" s="67"/>
      <c r="G29" s="67"/>
      <c r="H29" s="67"/>
      <c r="I29" s="480">
        <f aca="true" t="shared" si="2" ref="I29:I35">10-($I$17-H29)</f>
        <v>-2015</v>
      </c>
      <c r="J29" s="504"/>
      <c r="K29" s="67"/>
      <c r="L29" s="67"/>
      <c r="M29" s="48"/>
      <c r="N29" s="48">
        <f aca="true" t="shared" si="3" ref="N29:N35">SUM(K29:M29)</f>
        <v>0</v>
      </c>
      <c r="O29" s="67"/>
      <c r="P29" s="67"/>
      <c r="Q29" s="67"/>
      <c r="R29" s="67"/>
      <c r="S29" s="67"/>
      <c r="T29" s="67"/>
      <c r="U29" s="67"/>
      <c r="V29" s="67"/>
      <c r="W29" s="67"/>
    </row>
    <row r="30" spans="1:23" ht="13.5">
      <c r="A30" s="46">
        <v>2</v>
      </c>
      <c r="B30" s="67"/>
      <c r="C30" s="67"/>
      <c r="D30" s="67"/>
      <c r="E30" s="67"/>
      <c r="F30" s="67"/>
      <c r="G30" s="67"/>
      <c r="H30" s="67"/>
      <c r="I30" s="480">
        <f t="shared" si="2"/>
        <v>-2015</v>
      </c>
      <c r="J30" s="504"/>
      <c r="K30" s="67"/>
      <c r="L30" s="67"/>
      <c r="M30" s="48"/>
      <c r="N30" s="48">
        <f t="shared" si="3"/>
        <v>0</v>
      </c>
      <c r="O30" s="67"/>
      <c r="P30" s="67"/>
      <c r="Q30" s="67"/>
      <c r="R30" s="67"/>
      <c r="S30" s="67"/>
      <c r="T30" s="67"/>
      <c r="U30" s="67"/>
      <c r="V30" s="67"/>
      <c r="W30" s="67"/>
    </row>
    <row r="31" spans="1:23" ht="13.5">
      <c r="A31" s="46">
        <v>3</v>
      </c>
      <c r="B31" s="67"/>
      <c r="C31" s="67"/>
      <c r="D31" s="67"/>
      <c r="E31" s="67"/>
      <c r="F31" s="67"/>
      <c r="G31" s="67"/>
      <c r="H31" s="67"/>
      <c r="I31" s="480">
        <f t="shared" si="2"/>
        <v>-2015</v>
      </c>
      <c r="J31" s="504"/>
      <c r="K31" s="67"/>
      <c r="L31" s="67"/>
      <c r="M31" s="48"/>
      <c r="N31" s="48">
        <f t="shared" si="3"/>
        <v>0</v>
      </c>
      <c r="O31" s="67"/>
      <c r="P31" s="67"/>
      <c r="Q31" s="67"/>
      <c r="R31" s="67"/>
      <c r="S31" s="67"/>
      <c r="T31" s="67"/>
      <c r="U31" s="67"/>
      <c r="V31" s="67"/>
      <c r="W31" s="67"/>
    </row>
    <row r="32" spans="1:23" ht="13.5">
      <c r="A32" s="91">
        <v>4</v>
      </c>
      <c r="B32" s="67"/>
      <c r="C32" s="67"/>
      <c r="D32" s="67"/>
      <c r="E32" s="67"/>
      <c r="F32" s="67"/>
      <c r="G32" s="67"/>
      <c r="H32" s="67"/>
      <c r="I32" s="480">
        <f t="shared" si="2"/>
        <v>-2015</v>
      </c>
      <c r="J32" s="504"/>
      <c r="K32" s="67"/>
      <c r="L32" s="67"/>
      <c r="M32" s="48"/>
      <c r="N32" s="48">
        <f t="shared" si="3"/>
        <v>0</v>
      </c>
      <c r="O32" s="67"/>
      <c r="P32" s="67"/>
      <c r="Q32" s="67"/>
      <c r="R32" s="67"/>
      <c r="S32" s="67"/>
      <c r="T32" s="67"/>
      <c r="U32" s="67"/>
      <c r="V32" s="67"/>
      <c r="W32" s="67"/>
    </row>
    <row r="33" spans="1:23" ht="13.5">
      <c r="A33" s="91">
        <v>5</v>
      </c>
      <c r="B33" s="67"/>
      <c r="C33" s="67"/>
      <c r="D33" s="67"/>
      <c r="E33" s="67"/>
      <c r="F33" s="67"/>
      <c r="G33" s="67"/>
      <c r="H33" s="67"/>
      <c r="I33" s="480">
        <f t="shared" si="2"/>
        <v>-2015</v>
      </c>
      <c r="J33" s="504"/>
      <c r="K33" s="67"/>
      <c r="L33" s="67"/>
      <c r="M33" s="48"/>
      <c r="N33" s="48">
        <f t="shared" si="3"/>
        <v>0</v>
      </c>
      <c r="O33" s="67"/>
      <c r="P33" s="67"/>
      <c r="Q33" s="67"/>
      <c r="R33" s="67"/>
      <c r="S33" s="67"/>
      <c r="T33" s="67"/>
      <c r="U33" s="67"/>
      <c r="V33" s="67"/>
      <c r="W33" s="67"/>
    </row>
    <row r="34" spans="1:23" ht="13.5">
      <c r="A34" s="91">
        <v>6</v>
      </c>
      <c r="B34" s="67"/>
      <c r="C34" s="67"/>
      <c r="D34" s="67"/>
      <c r="E34" s="67"/>
      <c r="F34" s="67"/>
      <c r="G34" s="67"/>
      <c r="H34" s="67"/>
      <c r="I34" s="480">
        <f t="shared" si="2"/>
        <v>-2015</v>
      </c>
      <c r="J34" s="504"/>
      <c r="K34" s="67"/>
      <c r="L34" s="67"/>
      <c r="M34" s="48"/>
      <c r="N34" s="48">
        <f t="shared" si="3"/>
        <v>0</v>
      </c>
      <c r="O34" s="67"/>
      <c r="P34" s="67"/>
      <c r="Q34" s="67"/>
      <c r="R34" s="67"/>
      <c r="S34" s="67"/>
      <c r="T34" s="67"/>
      <c r="U34" s="67"/>
      <c r="V34" s="67"/>
      <c r="W34" s="67"/>
    </row>
    <row r="35" spans="1:23" ht="13.5">
      <c r="A35" s="91">
        <v>7</v>
      </c>
      <c r="B35" s="67"/>
      <c r="C35" s="67"/>
      <c r="D35" s="67"/>
      <c r="E35" s="67"/>
      <c r="F35" s="67"/>
      <c r="G35" s="67"/>
      <c r="H35" s="67"/>
      <c r="I35" s="480">
        <f t="shared" si="2"/>
        <v>-2015</v>
      </c>
      <c r="J35" s="504"/>
      <c r="K35" s="67"/>
      <c r="L35" s="67"/>
      <c r="M35" s="48"/>
      <c r="N35" s="48">
        <f t="shared" si="3"/>
        <v>0</v>
      </c>
      <c r="O35" s="67"/>
      <c r="P35" s="67"/>
      <c r="Q35" s="67"/>
      <c r="R35" s="67"/>
      <c r="S35" s="67"/>
      <c r="T35" s="67"/>
      <c r="U35" s="67"/>
      <c r="V35" s="67"/>
      <c r="W35" s="67"/>
    </row>
    <row r="36" spans="1:23" ht="14.25">
      <c r="A36" s="382"/>
      <c r="B36" s="484" t="s">
        <v>415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</row>
    <row r="37" spans="1:23" ht="13.5">
      <c r="A37" s="91">
        <v>1</v>
      </c>
      <c r="B37" s="67"/>
      <c r="C37" s="67"/>
      <c r="D37" s="67"/>
      <c r="E37" s="67"/>
      <c r="F37" s="67"/>
      <c r="G37" s="67"/>
      <c r="H37" s="67"/>
      <c r="I37" s="480">
        <f aca="true" t="shared" si="4" ref="I37:I43">10-($I$17-H37)</f>
        <v>-2015</v>
      </c>
      <c r="J37" s="504"/>
      <c r="K37" s="67"/>
      <c r="L37" s="67"/>
      <c r="M37" s="48"/>
      <c r="N37" s="48">
        <f aca="true" t="shared" si="5" ref="N37:N43">SUM(K37:M37)</f>
        <v>0</v>
      </c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13.5">
      <c r="A38" s="91">
        <v>2</v>
      </c>
      <c r="B38" s="67"/>
      <c r="C38" s="67"/>
      <c r="D38" s="67"/>
      <c r="E38" s="67"/>
      <c r="F38" s="67"/>
      <c r="G38" s="67"/>
      <c r="H38" s="67"/>
      <c r="I38" s="480">
        <f t="shared" si="4"/>
        <v>-2015</v>
      </c>
      <c r="J38" s="504"/>
      <c r="K38" s="67"/>
      <c r="L38" s="67"/>
      <c r="M38" s="48"/>
      <c r="N38" s="48">
        <f t="shared" si="5"/>
        <v>0</v>
      </c>
      <c r="O38" s="67"/>
      <c r="P38" s="67"/>
      <c r="Q38" s="67"/>
      <c r="R38" s="67"/>
      <c r="S38" s="67"/>
      <c r="T38" s="67"/>
      <c r="U38" s="67"/>
      <c r="V38" s="67"/>
      <c r="W38" s="67"/>
    </row>
    <row r="39" spans="1:23" ht="13.5">
      <c r="A39" s="91">
        <v>3</v>
      </c>
      <c r="B39" s="67"/>
      <c r="C39" s="67"/>
      <c r="D39" s="67"/>
      <c r="E39" s="67"/>
      <c r="F39" s="67"/>
      <c r="G39" s="67"/>
      <c r="H39" s="67"/>
      <c r="I39" s="480">
        <f t="shared" si="4"/>
        <v>-2015</v>
      </c>
      <c r="J39" s="504"/>
      <c r="K39" s="67"/>
      <c r="L39" s="67"/>
      <c r="M39" s="48"/>
      <c r="N39" s="48">
        <f t="shared" si="5"/>
        <v>0</v>
      </c>
      <c r="O39" s="67"/>
      <c r="P39" s="67"/>
      <c r="Q39" s="67"/>
      <c r="R39" s="67"/>
      <c r="S39" s="67"/>
      <c r="T39" s="67"/>
      <c r="U39" s="67"/>
      <c r="V39" s="67"/>
      <c r="W39" s="67"/>
    </row>
    <row r="40" spans="1:23" ht="13.5">
      <c r="A40" s="91">
        <v>4</v>
      </c>
      <c r="B40" s="67"/>
      <c r="C40" s="67"/>
      <c r="D40" s="67"/>
      <c r="E40" s="67"/>
      <c r="F40" s="67"/>
      <c r="G40" s="67"/>
      <c r="H40" s="67"/>
      <c r="I40" s="480">
        <f t="shared" si="4"/>
        <v>-2015</v>
      </c>
      <c r="J40" s="504"/>
      <c r="K40" s="67"/>
      <c r="L40" s="67"/>
      <c r="M40" s="48"/>
      <c r="N40" s="48">
        <f t="shared" si="5"/>
        <v>0</v>
      </c>
      <c r="O40" s="67"/>
      <c r="P40" s="67"/>
      <c r="Q40" s="67"/>
      <c r="R40" s="67"/>
      <c r="S40" s="67"/>
      <c r="T40" s="67"/>
      <c r="U40" s="500"/>
      <c r="V40" s="67"/>
      <c r="W40" s="67"/>
    </row>
    <row r="41" spans="1:23" ht="13.5">
      <c r="A41" s="91">
        <v>5</v>
      </c>
      <c r="B41" s="67"/>
      <c r="C41" s="67"/>
      <c r="D41" s="67"/>
      <c r="E41" s="67"/>
      <c r="F41" s="67"/>
      <c r="G41" s="67"/>
      <c r="H41" s="67"/>
      <c r="I41" s="480">
        <f t="shared" si="4"/>
        <v>-2015</v>
      </c>
      <c r="J41" s="67"/>
      <c r="K41" s="67"/>
      <c r="L41" s="67"/>
      <c r="M41" s="48"/>
      <c r="N41" s="48">
        <f t="shared" si="5"/>
        <v>0</v>
      </c>
      <c r="O41" s="67"/>
      <c r="P41" s="67"/>
      <c r="Q41" s="67"/>
      <c r="R41" s="67"/>
      <c r="S41" s="67"/>
      <c r="T41" s="67"/>
      <c r="U41" s="500"/>
      <c r="V41" s="67"/>
      <c r="W41" s="67"/>
    </row>
    <row r="42" spans="1:23" ht="13.5">
      <c r="A42" s="91">
        <v>6</v>
      </c>
      <c r="B42" s="67"/>
      <c r="C42" s="67"/>
      <c r="D42" s="67"/>
      <c r="E42" s="67"/>
      <c r="F42" s="67"/>
      <c r="G42" s="67"/>
      <c r="H42" s="67"/>
      <c r="I42" s="480">
        <f t="shared" si="4"/>
        <v>-2015</v>
      </c>
      <c r="J42" s="67"/>
      <c r="K42" s="67"/>
      <c r="L42" s="67"/>
      <c r="M42" s="48"/>
      <c r="N42" s="48">
        <f t="shared" si="5"/>
        <v>0</v>
      </c>
      <c r="O42" s="67"/>
      <c r="P42" s="67"/>
      <c r="Q42" s="67"/>
      <c r="R42" s="67"/>
      <c r="S42" s="67"/>
      <c r="T42" s="67"/>
      <c r="U42" s="500"/>
      <c r="V42" s="67"/>
      <c r="W42" s="67"/>
    </row>
    <row r="43" spans="1:23" ht="13.5">
      <c r="A43" s="91">
        <v>7</v>
      </c>
      <c r="B43" s="67"/>
      <c r="C43" s="67"/>
      <c r="D43" s="67"/>
      <c r="E43" s="67"/>
      <c r="F43" s="67"/>
      <c r="G43" s="67"/>
      <c r="H43" s="67"/>
      <c r="I43" s="480">
        <f t="shared" si="4"/>
        <v>-2015</v>
      </c>
      <c r="J43" s="67"/>
      <c r="K43" s="67"/>
      <c r="L43" s="67"/>
      <c r="M43" s="48"/>
      <c r="N43" s="48">
        <f t="shared" si="5"/>
        <v>0</v>
      </c>
      <c r="O43" s="67"/>
      <c r="P43" s="67"/>
      <c r="Q43" s="67"/>
      <c r="R43" s="67"/>
      <c r="S43" s="67"/>
      <c r="T43" s="67"/>
      <c r="U43" s="500"/>
      <c r="V43" s="67"/>
      <c r="W43" s="67"/>
    </row>
    <row r="44" spans="1:21" ht="13.5">
      <c r="A44" s="132"/>
      <c r="B44" s="116"/>
      <c r="C44" s="116"/>
      <c r="D44" s="116"/>
      <c r="E44" s="116"/>
      <c r="F44" s="116"/>
      <c r="G44" s="116"/>
      <c r="H44" s="116"/>
      <c r="I44" s="383"/>
      <c r="J44" s="383"/>
      <c r="K44" s="116"/>
      <c r="L44" s="116"/>
      <c r="M44" s="383"/>
      <c r="N44" s="116"/>
      <c r="O44" s="383"/>
      <c r="P44" s="116"/>
      <c r="Q44" s="116"/>
      <c r="R44" s="116"/>
      <c r="S44" s="116"/>
      <c r="T44" s="116"/>
      <c r="U44" s="501"/>
    </row>
    <row r="45" spans="1:21" s="489" customFormat="1" ht="13.5">
      <c r="A45" s="132"/>
      <c r="B45" s="116"/>
      <c r="C45" s="116"/>
      <c r="D45" s="116"/>
      <c r="E45" s="116"/>
      <c r="F45" s="116"/>
      <c r="G45" s="116"/>
      <c r="H45" s="116"/>
      <c r="I45" s="383"/>
      <c r="J45" s="116"/>
      <c r="K45" s="116"/>
      <c r="L45" s="116"/>
      <c r="M45" s="383"/>
      <c r="N45" s="116"/>
      <c r="O45" s="116"/>
      <c r="P45" s="116"/>
      <c r="Q45" s="116"/>
      <c r="R45" s="116"/>
      <c r="S45" s="116"/>
      <c r="T45" s="116"/>
      <c r="U45" s="501"/>
    </row>
    <row r="46" spans="1:21" s="489" customFormat="1" ht="14.25">
      <c r="A46" s="490" t="s">
        <v>7</v>
      </c>
      <c r="B46" s="488" t="s">
        <v>479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501"/>
    </row>
    <row r="47" spans="1:21" s="489" customFormat="1" ht="14.25">
      <c r="A47" s="490"/>
      <c r="B47" s="116" t="s">
        <v>424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501"/>
    </row>
    <row r="48" spans="1:21" s="489" customFormat="1" ht="17.25">
      <c r="A48" s="492">
        <v>1</v>
      </c>
      <c r="B48" s="116" t="s">
        <v>454</v>
      </c>
      <c r="I48" s="116"/>
      <c r="J48" s="116"/>
      <c r="K48" s="116"/>
      <c r="L48" s="116"/>
      <c r="M48" s="116"/>
      <c r="N48" s="116"/>
      <c r="U48" s="502"/>
    </row>
    <row r="49" spans="1:21" s="489" customFormat="1" ht="17.25">
      <c r="A49" s="492">
        <v>2</v>
      </c>
      <c r="B49" s="116" t="s">
        <v>453</v>
      </c>
      <c r="I49" s="116"/>
      <c r="K49" s="116"/>
      <c r="L49" s="116"/>
      <c r="M49" s="116"/>
      <c r="N49" s="116"/>
      <c r="U49" s="502"/>
    </row>
    <row r="50" spans="1:21" s="489" customFormat="1" ht="17.25">
      <c r="A50" s="492">
        <v>2</v>
      </c>
      <c r="B50" s="116" t="s">
        <v>425</v>
      </c>
      <c r="I50" s="116"/>
      <c r="K50" s="116"/>
      <c r="L50" s="116"/>
      <c r="M50" s="116"/>
      <c r="N50" s="116"/>
      <c r="U50" s="502"/>
    </row>
    <row r="51" spans="1:21" s="489" customFormat="1" ht="17.25">
      <c r="A51" s="493">
        <v>3</v>
      </c>
      <c r="B51" s="116" t="s">
        <v>426</v>
      </c>
      <c r="I51" s="116"/>
      <c r="K51" s="116"/>
      <c r="L51" s="116"/>
      <c r="M51" s="116"/>
      <c r="N51" s="116"/>
      <c r="U51" s="502"/>
    </row>
    <row r="52" spans="2:21" s="489" customFormat="1" ht="25.5" customHeight="1">
      <c r="B52" s="116" t="s">
        <v>430</v>
      </c>
      <c r="I52" s="116"/>
      <c r="K52" s="116"/>
      <c r="L52" s="116"/>
      <c r="M52" s="116"/>
      <c r="N52" s="116"/>
      <c r="U52" s="502"/>
    </row>
    <row r="53" spans="9:21" s="489" customFormat="1" ht="13.5">
      <c r="I53" s="116"/>
      <c r="K53" s="116"/>
      <c r="L53" s="116"/>
      <c r="M53" s="116"/>
      <c r="N53" s="116"/>
      <c r="U53" s="502"/>
    </row>
    <row r="54" spans="2:21" s="489" customFormat="1" ht="14.25">
      <c r="B54" s="491" t="s">
        <v>328</v>
      </c>
      <c r="I54" s="116"/>
      <c r="K54" s="116"/>
      <c r="L54" s="116"/>
      <c r="M54" s="116"/>
      <c r="N54" s="116"/>
      <c r="U54" s="502"/>
    </row>
    <row r="55" spans="2:21" s="489" customFormat="1" ht="13.5">
      <c r="B55" s="116"/>
      <c r="C55" s="116"/>
      <c r="D55" s="116"/>
      <c r="E55" s="116"/>
      <c r="F55" s="116"/>
      <c r="G55" s="116"/>
      <c r="H55" s="116"/>
      <c r="I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501"/>
    </row>
    <row r="56" spans="1:21" s="489" customFormat="1" ht="14.25">
      <c r="A56" s="490"/>
      <c r="J56" s="116"/>
      <c r="U56" s="502"/>
    </row>
    <row r="57" spans="1:21" s="489" customFormat="1" ht="13.5">
      <c r="A57" s="116"/>
      <c r="C57" s="116"/>
      <c r="D57" s="116"/>
      <c r="E57" s="116"/>
      <c r="F57" s="116"/>
      <c r="G57" s="116"/>
      <c r="H57" s="116"/>
      <c r="I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501"/>
    </row>
    <row r="58" spans="10:21" s="489" customFormat="1" ht="13.5">
      <c r="J58" s="116"/>
      <c r="U58" s="502"/>
    </row>
    <row r="59" spans="2:21" s="489" customFormat="1" ht="86.25" hidden="1">
      <c r="B59" s="312" t="s">
        <v>436</v>
      </c>
      <c r="C59" s="312" t="s">
        <v>417</v>
      </c>
      <c r="D59" s="312" t="s">
        <v>437</v>
      </c>
      <c r="E59" s="312" t="s">
        <v>438</v>
      </c>
      <c r="U59" s="502"/>
    </row>
    <row r="60" spans="2:10" ht="17.25" hidden="1">
      <c r="B60" s="494" t="s">
        <v>439</v>
      </c>
      <c r="C60" s="494" t="s">
        <v>431</v>
      </c>
      <c r="D60" s="494" t="s">
        <v>440</v>
      </c>
      <c r="E60" s="494" t="s">
        <v>441</v>
      </c>
      <c r="J60" s="489"/>
    </row>
    <row r="61" spans="2:5" ht="17.25" hidden="1">
      <c r="B61" s="494" t="s">
        <v>442</v>
      </c>
      <c r="C61" s="494" t="s">
        <v>432</v>
      </c>
      <c r="D61" s="494" t="s">
        <v>443</v>
      </c>
      <c r="E61" s="494" t="s">
        <v>444</v>
      </c>
    </row>
    <row r="62" spans="2:5" ht="17.25" hidden="1">
      <c r="B62" s="494" t="s">
        <v>445</v>
      </c>
      <c r="C62" s="494" t="s">
        <v>433</v>
      </c>
      <c r="D62" s="494" t="s">
        <v>446</v>
      </c>
      <c r="E62" s="494"/>
    </row>
    <row r="63" spans="2:4" ht="17.25" hidden="1">
      <c r="B63" s="494" t="s">
        <v>447</v>
      </c>
      <c r="C63" s="494" t="s">
        <v>434</v>
      </c>
      <c r="D63" s="494" t="s">
        <v>448</v>
      </c>
    </row>
    <row r="64" spans="2:4" ht="17.25" hidden="1">
      <c r="B64" s="494" t="s">
        <v>449</v>
      </c>
      <c r="C64" s="494" t="s">
        <v>435</v>
      </c>
      <c r="D64" s="495" t="s">
        <v>450</v>
      </c>
    </row>
    <row r="65" spans="2:4" ht="17.25" hidden="1">
      <c r="B65" s="494" t="s">
        <v>139</v>
      </c>
      <c r="C65" s="496"/>
      <c r="D65" s="497"/>
    </row>
    <row r="66" ht="12.75" hidden="1"/>
    <row r="67" ht="86.25" hidden="1">
      <c r="B67" s="312" t="s">
        <v>458</v>
      </c>
    </row>
    <row r="68" ht="17.25" hidden="1">
      <c r="B68" s="505" t="s">
        <v>455</v>
      </c>
    </row>
    <row r="69" ht="34.5" hidden="1">
      <c r="B69" s="505" t="s">
        <v>456</v>
      </c>
    </row>
    <row r="70" ht="34.5" hidden="1">
      <c r="B70" s="505" t="s">
        <v>460</v>
      </c>
    </row>
    <row r="71" ht="17.25" hidden="1">
      <c r="B71" s="505" t="s">
        <v>459</v>
      </c>
    </row>
    <row r="72" ht="12.75" hidden="1"/>
    <row r="73" ht="12.75" hidden="1"/>
  </sheetData>
  <sheetProtection/>
  <mergeCells count="8">
    <mergeCell ref="K3:M3"/>
    <mergeCell ref="K14:N14"/>
    <mergeCell ref="J14:J15"/>
    <mergeCell ref="W14:W15"/>
    <mergeCell ref="C14:I14"/>
    <mergeCell ref="O14:R14"/>
    <mergeCell ref="S14:V14"/>
    <mergeCell ref="B4:F4"/>
  </mergeCells>
  <conditionalFormatting sqref="I19 I21 I23:I27">
    <cfRule type="cellIs" priority="12" dxfId="0" operator="equal" stopIfTrue="1">
      <formula>-2014</formula>
    </cfRule>
  </conditionalFormatting>
  <conditionalFormatting sqref="I19 I21 I23:I27">
    <cfRule type="cellIs" priority="11" dxfId="0" operator="equal" stopIfTrue="1">
      <formula>-2015</formula>
    </cfRule>
  </conditionalFormatting>
  <conditionalFormatting sqref="I29:I35">
    <cfRule type="cellIs" priority="5" dxfId="0" operator="equal" stopIfTrue="1">
      <formula>-2015</formula>
    </cfRule>
  </conditionalFormatting>
  <conditionalFormatting sqref="I29:I35">
    <cfRule type="cellIs" priority="6" dxfId="0" operator="equal" stopIfTrue="1">
      <formula>-2014</formula>
    </cfRule>
  </conditionalFormatting>
  <conditionalFormatting sqref="I37:I43">
    <cfRule type="cellIs" priority="4" dxfId="0" operator="equal" stopIfTrue="1">
      <formula>-2014</formula>
    </cfRule>
  </conditionalFormatting>
  <conditionalFormatting sqref="I37:I43">
    <cfRule type="cellIs" priority="3" dxfId="0" operator="equal" stopIfTrue="1">
      <formula>-2015</formula>
    </cfRule>
  </conditionalFormatting>
  <conditionalFormatting sqref="I22">
    <cfRule type="cellIs" priority="2" dxfId="0" operator="equal" stopIfTrue="1">
      <formula>-2014</formula>
    </cfRule>
  </conditionalFormatting>
  <conditionalFormatting sqref="I22">
    <cfRule type="cellIs" priority="1" dxfId="0" operator="equal" stopIfTrue="1">
      <formula>-2015</formula>
    </cfRule>
  </conditionalFormatting>
  <dataValidations count="5">
    <dataValidation type="list" allowBlank="1" showInputMessage="1" showErrorMessage="1" sqref="D21:D27 O19 O29:O35 O21:O27 D37:D43 D19 D29:D35 S19 S29:S35 S21:S27 S37:S39 R40:R43 O37:O39">
      <formula1>$B$60:$B$65</formula1>
    </dataValidation>
    <dataValidation type="list" allowBlank="1" showInputMessage="1" showErrorMessage="1" sqref="E19 P21:P27 P29:P35 P19 E21:E27 E29:E35 E37:E43 T21:T27 T29:T35 T19 T37:T39 S40:S43 P37:P39 O40:O43">
      <formula1>$C$60:$C$64</formula1>
    </dataValidation>
    <dataValidation type="list" allowBlank="1" showInputMessage="1" showErrorMessage="1" sqref="F19 Q21:Q27 Q29:Q35 Q19 F21:F27 F29:F35 F37:F43 U21:U27 U29:U35 U19 U37:U39 T40:T43 Q37:Q39 P40:P43">
      <formula1>$D$60:$D$64</formula1>
    </dataValidation>
    <dataValidation type="list" allowBlank="1" showInputMessage="1" showErrorMessage="1" sqref="G19 G21:G27 G29:G35 G37:G43 U40:U43 Q40:Q43">
      <formula1>$E$60:$E$61</formula1>
    </dataValidation>
    <dataValidation type="list" allowBlank="1" showInputMessage="1" showErrorMessage="1" sqref="J19 J37:J43 J29:J35 J21:J27">
      <formula1>$B$68:$B$71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www</cp:lastModifiedBy>
  <cp:lastPrinted>2024-01-10T13:32:13Z</cp:lastPrinted>
  <dcterms:created xsi:type="dcterms:W3CDTF">2003-05-20T07:22:10Z</dcterms:created>
  <dcterms:modified xsi:type="dcterms:W3CDTF">2024-03-18T06:56:40Z</dcterms:modified>
  <cp:category/>
  <cp:version/>
  <cp:contentType/>
  <cp:contentStatus/>
</cp:coreProperties>
</file>