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mlet Stepanyan\Desktop\MJCC 2020-2022\"/>
    </mc:Choice>
  </mc:AlternateContent>
  <bookViews>
    <workbookView xWindow="0" yWindow="0" windowWidth="24000" windowHeight="9885" tabRatio="803"/>
  </bookViews>
  <sheets>
    <sheet name="1-ԱՄՓՈՓ" sheetId="54" r:id="rId1"/>
    <sheet name="2-ԸՆԴԱՄԵՆԸ ԾԱԽՍԵՐ" sheetId="2" r:id="rId2"/>
    <sheet name="3-Ծախսերի բացվածք" sheetId="26" r:id="rId3"/>
    <sheet name="4-ԿԱՊ" sheetId="29" r:id="rId4"/>
    <sheet name="7-էլ-էներգիա" sheetId="5" r:id="rId5"/>
    <sheet name="8-էլ-էներգիա-ջեռուցում" sheetId="6" r:id="rId6"/>
    <sheet name="10-գործուղում" sheetId="24" r:id="rId7"/>
    <sheet name="11-ավտոմեքենա" sheetId="22" r:id="rId8"/>
    <sheet name="12-վարչական սարքավորումներ" sheetId="23" r:id="rId9"/>
    <sheet name="14տարածքներ" sheetId="57" r:id="rId10"/>
    <sheet name="15կառուցվածք" sheetId="19" r:id="rId11"/>
    <sheet name="16հաստիացուցակ" sheetId="18" r:id="rId12"/>
    <sheet name="29աշխատավարձի ֆոնդ" sheetId="37" r:id="rId13"/>
    <sheet name="30ամփոփ-ցուցանիշներ" sheetId="56" r:id="rId14"/>
  </sheets>
  <definedNames>
    <definedName name="_xlnm.Print_Titles" localSheetId="11">'16հաստիացուցակ'!$4:$6</definedName>
    <definedName name="_xlnm.Print_Titles" localSheetId="1">'2-ԸՆԴԱՄԵՆԸ ԾԱԽՍԵՐ'!$6:$8</definedName>
  </definedNames>
  <calcPr calcId="152511" fullCalcOnLoad="1"/>
  <customWorkbookViews>
    <customWorkbookView name="ordyan - Personal View" guid="{EE5C0AFB-B96A-4C3C-885D-9A248AEB532B}" mergeInterval="0" personalView="1" maximized="1" windowWidth="1020" windowHeight="605" activeSheetId="8"/>
    <customWorkbookView name="marine - Personal View" guid="{D9EA75C0-4948-47E2-929C-5FF812E82023}" mergeInterval="0" personalView="1" maximized="1" windowWidth="1148" windowHeight="727" activeSheetId="7"/>
  </customWorkbookViews>
</workbook>
</file>

<file path=xl/calcChain.xml><?xml version="1.0" encoding="utf-8"?>
<calcChain xmlns="http://schemas.openxmlformats.org/spreadsheetml/2006/main">
  <c r="H82" i="2" l="1"/>
  <c r="H83" i="2"/>
  <c r="H84" i="2"/>
  <c r="H85" i="2"/>
  <c r="H86" i="2"/>
  <c r="I29" i="57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35" i="23"/>
  <c r="L54" i="23"/>
  <c r="G137" i="26"/>
  <c r="E137" i="26"/>
  <c r="H148" i="26"/>
  <c r="I148" i="26"/>
  <c r="O39" i="23"/>
  <c r="O40" i="23"/>
  <c r="O41" i="23"/>
  <c r="O42" i="23"/>
  <c r="O38" i="23"/>
  <c r="I150" i="26"/>
  <c r="I151" i="26"/>
  <c r="H149" i="26"/>
  <c r="E149" i="26"/>
  <c r="H150" i="26"/>
  <c r="I149" i="26"/>
  <c r="I138" i="26"/>
  <c r="I139" i="26"/>
  <c r="I140" i="26"/>
  <c r="I141" i="26"/>
  <c r="I142" i="26"/>
  <c r="I143" i="26"/>
  <c r="I144" i="26"/>
  <c r="I145" i="26"/>
  <c r="I146" i="26"/>
  <c r="I147" i="26"/>
  <c r="H138" i="26"/>
  <c r="H139" i="26"/>
  <c r="H140" i="26"/>
  <c r="H141" i="26"/>
  <c r="H142" i="26"/>
  <c r="H143" i="26"/>
  <c r="H144" i="26"/>
  <c r="H145" i="26"/>
  <c r="H146" i="26"/>
  <c r="H147" i="26"/>
  <c r="G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E123" i="26"/>
  <c r="H123" i="26"/>
  <c r="G110" i="26"/>
  <c r="E110" i="26"/>
  <c r="H113" i="26"/>
  <c r="I113" i="26"/>
  <c r="H114" i="26"/>
  <c r="I114" i="26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I110" i="26"/>
  <c r="H84" i="26"/>
  <c r="I84" i="26"/>
  <c r="H85" i="26"/>
  <c r="H86" i="26"/>
  <c r="I86" i="26"/>
  <c r="H87" i="26"/>
  <c r="I87" i="26"/>
  <c r="H88" i="26"/>
  <c r="I88" i="26"/>
  <c r="H89" i="26"/>
  <c r="I89" i="26"/>
  <c r="H90" i="26"/>
  <c r="I90" i="26"/>
  <c r="H91" i="26"/>
  <c r="I91" i="26"/>
  <c r="H92" i="26"/>
  <c r="I92" i="26"/>
  <c r="H93" i="26"/>
  <c r="I93" i="26"/>
  <c r="H94" i="26"/>
  <c r="I94" i="26"/>
  <c r="H95" i="26"/>
  <c r="I95" i="26"/>
  <c r="H96" i="26"/>
  <c r="I96" i="26"/>
  <c r="H97" i="26"/>
  <c r="I97" i="26"/>
  <c r="H98" i="26"/>
  <c r="I98" i="26"/>
  <c r="H99" i="26"/>
  <c r="I99" i="26"/>
  <c r="H100" i="26"/>
  <c r="I100" i="26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G85" i="26"/>
  <c r="E85" i="26"/>
  <c r="H83" i="26"/>
  <c r="I83" i="26"/>
  <c r="G53" i="26"/>
  <c r="E53" i="26"/>
  <c r="I58" i="26"/>
  <c r="I59" i="26"/>
  <c r="I60" i="26"/>
  <c r="I61" i="26"/>
  <c r="I62" i="26"/>
  <c r="I63" i="26"/>
  <c r="I64" i="26"/>
  <c r="H57" i="26"/>
  <c r="H58" i="26"/>
  <c r="H59" i="26"/>
  <c r="H60" i="26"/>
  <c r="H61" i="26"/>
  <c r="H62" i="26"/>
  <c r="H63" i="26"/>
  <c r="H64" i="26"/>
  <c r="I23" i="26"/>
  <c r="I24" i="26"/>
  <c r="I25" i="26"/>
  <c r="I26" i="26"/>
  <c r="I27" i="26"/>
  <c r="I28" i="26"/>
  <c r="H27" i="26"/>
  <c r="D35" i="56"/>
  <c r="D18" i="56"/>
  <c r="C18" i="56"/>
  <c r="D24" i="56"/>
  <c r="D22" i="56"/>
  <c r="D30" i="56"/>
  <c r="AB32" i="18"/>
  <c r="AC32" i="18"/>
  <c r="AI32" i="18"/>
  <c r="AJ32" i="18"/>
  <c r="AH30" i="18"/>
  <c r="AH31" i="18"/>
  <c r="AK31" i="18"/>
  <c r="AH33" i="18"/>
  <c r="AH34" i="18"/>
  <c r="AH35" i="18"/>
  <c r="AA31" i="18"/>
  <c r="AA30" i="18"/>
  <c r="P88" i="18"/>
  <c r="Q75" i="18"/>
  <c r="P79" i="18"/>
  <c r="AH218" i="18"/>
  <c r="AE218" i="18"/>
  <c r="AF218" i="18"/>
  <c r="AI218" i="18"/>
  <c r="AJ218" i="18"/>
  <c r="AE114" i="18"/>
  <c r="AH65" i="18"/>
  <c r="AJ65" i="18"/>
  <c r="AK65" i="18"/>
  <c r="AH64" i="18"/>
  <c r="AH63" i="18"/>
  <c r="AJ63" i="18"/>
  <c r="AH62" i="18"/>
  <c r="AK62" i="18"/>
  <c r="AH61" i="18"/>
  <c r="AH60" i="18"/>
  <c r="AJ60" i="18"/>
  <c r="AH59" i="18"/>
  <c r="AK59" i="18"/>
  <c r="I189" i="18"/>
  <c r="I180" i="18"/>
  <c r="U180" i="18"/>
  <c r="I168" i="18"/>
  <c r="I149" i="18"/>
  <c r="U149" i="18"/>
  <c r="I132" i="18"/>
  <c r="I110" i="18"/>
  <c r="U110" i="18"/>
  <c r="I99" i="18"/>
  <c r="I88" i="18"/>
  <c r="U88" i="18"/>
  <c r="I79" i="18"/>
  <c r="I66" i="18"/>
  <c r="I32" i="18"/>
  <c r="H218" i="18"/>
  <c r="AK213" i="18"/>
  <c r="AD213" i="18"/>
  <c r="V213" i="18"/>
  <c r="U213" i="18"/>
  <c r="T213" i="18"/>
  <c r="W213" i="18"/>
  <c r="S213" i="18"/>
  <c r="R213" i="18"/>
  <c r="K213" i="18"/>
  <c r="AK212" i="18"/>
  <c r="AD212" i="18"/>
  <c r="V212" i="18"/>
  <c r="U212" i="18"/>
  <c r="T212" i="18"/>
  <c r="W212" i="18"/>
  <c r="S212" i="18"/>
  <c r="R212" i="18"/>
  <c r="K212" i="18"/>
  <c r="AK211" i="18"/>
  <c r="AD211" i="18"/>
  <c r="V211" i="18"/>
  <c r="U211" i="18"/>
  <c r="T211" i="18"/>
  <c r="W211" i="18"/>
  <c r="S211" i="18"/>
  <c r="R211" i="18"/>
  <c r="K211" i="18"/>
  <c r="AK210" i="18"/>
  <c r="AD210" i="18"/>
  <c r="V210" i="18"/>
  <c r="U210" i="18"/>
  <c r="T210" i="18"/>
  <c r="W210" i="18"/>
  <c r="S210" i="18"/>
  <c r="R210" i="18"/>
  <c r="K210" i="18"/>
  <c r="E32" i="18"/>
  <c r="E25" i="18"/>
  <c r="H31" i="18"/>
  <c r="K31" i="18"/>
  <c r="AH23" i="18"/>
  <c r="AK23" i="18"/>
  <c r="AH21" i="18"/>
  <c r="AK21" i="18"/>
  <c r="AA21" i="18"/>
  <c r="AD21" i="18"/>
  <c r="AA23" i="18"/>
  <c r="AD23" i="18"/>
  <c r="O23" i="18"/>
  <c r="R23" i="18"/>
  <c r="S23" i="18"/>
  <c r="O21" i="18"/>
  <c r="R21" i="18"/>
  <c r="S21" i="18"/>
  <c r="O30" i="18"/>
  <c r="O31" i="18"/>
  <c r="O32" i="18"/>
  <c r="O33" i="18"/>
  <c r="L32" i="18"/>
  <c r="H23" i="18"/>
  <c r="K23" i="18"/>
  <c r="H21" i="18"/>
  <c r="K21" i="18"/>
  <c r="AE153" i="18"/>
  <c r="AE201" i="18"/>
  <c r="AE219" i="18"/>
  <c r="AC218" i="18"/>
  <c r="AB218" i="18"/>
  <c r="AA218" i="18"/>
  <c r="X218" i="18"/>
  <c r="AD208" i="18"/>
  <c r="AD207" i="18"/>
  <c r="AD206" i="18"/>
  <c r="AD205" i="18"/>
  <c r="AD218" i="18"/>
  <c r="AD204" i="18"/>
  <c r="AA203" i="18"/>
  <c r="AD203" i="18"/>
  <c r="AA202" i="18"/>
  <c r="AD202" i="18"/>
  <c r="AB200" i="18"/>
  <c r="X200" i="18"/>
  <c r="AA199" i="18"/>
  <c r="AD199" i="18"/>
  <c r="AA198" i="18"/>
  <c r="AD198" i="18"/>
  <c r="AA197" i="18"/>
  <c r="AD197" i="18"/>
  <c r="AA196" i="18"/>
  <c r="AD196" i="18"/>
  <c r="AA195" i="18"/>
  <c r="AD195" i="18"/>
  <c r="AA194" i="18"/>
  <c r="AA193" i="18"/>
  <c r="AD193" i="18"/>
  <c r="AA192" i="18"/>
  <c r="AA191" i="18"/>
  <c r="AA190" i="18"/>
  <c r="AB189" i="18"/>
  <c r="X189" i="18"/>
  <c r="AA188" i="18"/>
  <c r="AD188" i="18"/>
  <c r="AA187" i="18"/>
  <c r="AD187" i="18"/>
  <c r="AA186" i="18"/>
  <c r="AD186" i="18"/>
  <c r="AA185" i="18"/>
  <c r="AA184" i="18"/>
  <c r="AA183" i="18"/>
  <c r="AC183" i="18"/>
  <c r="AA182" i="18"/>
  <c r="AA181" i="18"/>
  <c r="AD181" i="18"/>
  <c r="AB180" i="18"/>
  <c r="X180" i="18"/>
  <c r="AD179" i="18"/>
  <c r="AA179" i="18"/>
  <c r="AD178" i="18"/>
  <c r="AA178" i="18"/>
  <c r="AD177" i="18"/>
  <c r="AA177" i="18"/>
  <c r="AD176" i="18"/>
  <c r="AA176" i="18"/>
  <c r="AA175" i="18"/>
  <c r="AC174" i="18"/>
  <c r="AA174" i="18"/>
  <c r="AD174" i="18"/>
  <c r="AA173" i="18"/>
  <c r="AC173" i="18"/>
  <c r="AA172" i="18"/>
  <c r="AA171" i="18"/>
  <c r="AD171" i="18"/>
  <c r="AA170" i="18"/>
  <c r="AD170" i="18"/>
  <c r="AA169" i="18"/>
  <c r="AD169" i="18"/>
  <c r="AB168" i="18"/>
  <c r="X168" i="18"/>
  <c r="AA167" i="18"/>
  <c r="AD167" i="18"/>
  <c r="AA166" i="18"/>
  <c r="AC166" i="18"/>
  <c r="AA165" i="18"/>
  <c r="AC165" i="18"/>
  <c r="AA164" i="18"/>
  <c r="AA163" i="18"/>
  <c r="AC163" i="18"/>
  <c r="AA162" i="18"/>
  <c r="AD162" i="18"/>
  <c r="AA161" i="18"/>
  <c r="AC161" i="18"/>
  <c r="AA160" i="18"/>
  <c r="AA159" i="18"/>
  <c r="AD159" i="18"/>
  <c r="AA158" i="18"/>
  <c r="AA157" i="18"/>
  <c r="AA156" i="18"/>
  <c r="AA155" i="18"/>
  <c r="AA154" i="18"/>
  <c r="AD154" i="18"/>
  <c r="AC153" i="18"/>
  <c r="AB153" i="18"/>
  <c r="X153" i="18"/>
  <c r="X201" i="18"/>
  <c r="X219" i="18"/>
  <c r="AA152" i="18"/>
  <c r="AD152" i="18"/>
  <c r="AD153" i="18"/>
  <c r="AA151" i="18"/>
  <c r="AD150" i="18"/>
  <c r="AA150" i="18"/>
  <c r="AB149" i="18"/>
  <c r="X149" i="18"/>
  <c r="AC148" i="18"/>
  <c r="AA148" i="18"/>
  <c r="AD148" i="18"/>
  <c r="AA147" i="18"/>
  <c r="AA146" i="18"/>
  <c r="AA149" i="18"/>
  <c r="AA145" i="18"/>
  <c r="AC145" i="18"/>
  <c r="AA144" i="18"/>
  <c r="AB143" i="18"/>
  <c r="X143" i="18"/>
  <c r="AA142" i="18"/>
  <c r="AC142" i="18"/>
  <c r="AA141" i="18"/>
  <c r="AC141" i="18"/>
  <c r="AD141" i="18"/>
  <c r="AA140" i="18"/>
  <c r="AC140" i="18"/>
  <c r="AD140" i="18"/>
  <c r="AA139" i="18"/>
  <c r="AD138" i="18"/>
  <c r="AA138" i="18"/>
  <c r="AB137" i="18"/>
  <c r="X137" i="18"/>
  <c r="AC136" i="18"/>
  <c r="AA136" i="18"/>
  <c r="AD136" i="18"/>
  <c r="AA135" i="18"/>
  <c r="AC135" i="18"/>
  <c r="AC137" i="18"/>
  <c r="AA134" i="18"/>
  <c r="AD133" i="18"/>
  <c r="AA133" i="18"/>
  <c r="AB132" i="18"/>
  <c r="X132" i="18"/>
  <c r="AC131" i="18"/>
  <c r="AD131" i="18"/>
  <c r="AA131" i="18"/>
  <c r="AA130" i="18"/>
  <c r="AA129" i="18"/>
  <c r="AC129" i="18"/>
  <c r="AA128" i="18"/>
  <c r="AC127" i="18"/>
  <c r="AA127" i="18"/>
  <c r="AA126" i="18"/>
  <c r="AA125" i="18"/>
  <c r="AD125" i="18"/>
  <c r="AB124" i="18"/>
  <c r="X124" i="18"/>
  <c r="AA123" i="18"/>
  <c r="AC123" i="18"/>
  <c r="AA122" i="18"/>
  <c r="AA121" i="18"/>
  <c r="AC121" i="18"/>
  <c r="AA120" i="18"/>
  <c r="AA119" i="18"/>
  <c r="AD119" i="18"/>
  <c r="AB118" i="18"/>
  <c r="X118" i="18"/>
  <c r="AA117" i="18"/>
  <c r="AA116" i="18"/>
  <c r="AA115" i="18"/>
  <c r="AD115" i="18"/>
  <c r="AB114" i="18"/>
  <c r="X114" i="18"/>
  <c r="AA113" i="18"/>
  <c r="AC113" i="18"/>
  <c r="AC114" i="18"/>
  <c r="AA112" i="18"/>
  <c r="AD112" i="18"/>
  <c r="AA111" i="18"/>
  <c r="AD111" i="18"/>
  <c r="AB110" i="18"/>
  <c r="X110" i="18"/>
  <c r="AA109" i="18"/>
  <c r="AA108" i="18"/>
  <c r="AA107" i="18"/>
  <c r="AA106" i="18"/>
  <c r="AD106" i="18"/>
  <c r="AA105" i="18"/>
  <c r="AC105" i="18"/>
  <c r="AA104" i="18"/>
  <c r="AA103" i="18"/>
  <c r="AC103" i="18"/>
  <c r="AA102" i="18"/>
  <c r="AD102" i="18"/>
  <c r="AA101" i="18"/>
  <c r="AA100" i="18"/>
  <c r="AD100" i="18"/>
  <c r="AB99" i="18"/>
  <c r="X99" i="18"/>
  <c r="AA98" i="18"/>
  <c r="AC98" i="18"/>
  <c r="AA97" i="18"/>
  <c r="AA96" i="18"/>
  <c r="AC96" i="18"/>
  <c r="AD96" i="18"/>
  <c r="AA95" i="18"/>
  <c r="AD95" i="18"/>
  <c r="AA94" i="18"/>
  <c r="AA93" i="18"/>
  <c r="AA92" i="18"/>
  <c r="AA91" i="18"/>
  <c r="AD91" i="18"/>
  <c r="AA90" i="18"/>
  <c r="AD90" i="18"/>
  <c r="AA89" i="18"/>
  <c r="AD89" i="18"/>
  <c r="AB88" i="18"/>
  <c r="X88" i="18"/>
  <c r="AA87" i="18"/>
  <c r="AA86" i="18"/>
  <c r="AC86" i="18"/>
  <c r="AA85" i="18"/>
  <c r="AA84" i="18"/>
  <c r="AC84" i="18"/>
  <c r="AA83" i="18"/>
  <c r="AA82" i="18"/>
  <c r="AC82" i="18"/>
  <c r="AA81" i="18"/>
  <c r="AA88" i="18"/>
  <c r="AA80" i="18"/>
  <c r="AD80" i="18"/>
  <c r="AB79" i="18"/>
  <c r="X79" i="18"/>
  <c r="AA78" i="18"/>
  <c r="AD78" i="18"/>
  <c r="AA77" i="18"/>
  <c r="AA76" i="18"/>
  <c r="AA75" i="18"/>
  <c r="AD75" i="18"/>
  <c r="AC74" i="18"/>
  <c r="AA74" i="18"/>
  <c r="AD74" i="18"/>
  <c r="AA73" i="18"/>
  <c r="AA72" i="18"/>
  <c r="AA71" i="18"/>
  <c r="AC71" i="18"/>
  <c r="AA70" i="18"/>
  <c r="AD69" i="18"/>
  <c r="AA69" i="18"/>
  <c r="AA68" i="18"/>
  <c r="AD68" i="18"/>
  <c r="AD67" i="18"/>
  <c r="AA67" i="18"/>
  <c r="AB66" i="18"/>
  <c r="X66" i="18"/>
  <c r="AC65" i="18"/>
  <c r="AA65" i="18"/>
  <c r="AD65" i="18"/>
  <c r="AA64" i="18"/>
  <c r="AC64" i="18"/>
  <c r="AD64" i="18"/>
  <c r="AA63" i="18"/>
  <c r="AA62" i="18"/>
  <c r="AD62" i="18"/>
  <c r="AA61" i="18"/>
  <c r="AC60" i="18"/>
  <c r="AA60" i="18"/>
  <c r="AD59" i="18"/>
  <c r="AA59" i="18"/>
  <c r="AA58" i="18"/>
  <c r="AD58" i="18"/>
  <c r="X57" i="18"/>
  <c r="AA56" i="18"/>
  <c r="AD56" i="18"/>
  <c r="AA55" i="18"/>
  <c r="AC55" i="18"/>
  <c r="AD55" i="18"/>
  <c r="AA54" i="18"/>
  <c r="AD54" i="18"/>
  <c r="AA53" i="18"/>
  <c r="AC53" i="18"/>
  <c r="AA52" i="18"/>
  <c r="AD52" i="18"/>
  <c r="AB51" i="18"/>
  <c r="AA51" i="18"/>
  <c r="AC51" i="18"/>
  <c r="AD51" i="18"/>
  <c r="AA50" i="18"/>
  <c r="AC50" i="18"/>
  <c r="AD50" i="18"/>
  <c r="AA49" i="18"/>
  <c r="AA48" i="18"/>
  <c r="AA47" i="18"/>
  <c r="AC47" i="18"/>
  <c r="AD47" i="18"/>
  <c r="AA46" i="18"/>
  <c r="AA57" i="18"/>
  <c r="AA45" i="18"/>
  <c r="AD45" i="18"/>
  <c r="X44" i="18"/>
  <c r="AA43" i="18"/>
  <c r="AB42" i="18"/>
  <c r="AA42" i="18"/>
  <c r="AC42" i="18"/>
  <c r="AA41" i="18"/>
  <c r="AC41" i="18"/>
  <c r="AD41" i="18"/>
  <c r="AA40" i="18"/>
  <c r="AA39" i="18"/>
  <c r="AD39" i="18"/>
  <c r="AA38" i="18"/>
  <c r="AC38" i="18"/>
  <c r="AD38" i="18"/>
  <c r="AB37" i="18"/>
  <c r="AA37" i="18"/>
  <c r="AC37" i="18"/>
  <c r="AA36" i="18"/>
  <c r="AC36" i="18"/>
  <c r="AA35" i="18"/>
  <c r="AD35" i="18"/>
  <c r="AA34" i="18"/>
  <c r="AD34" i="18"/>
  <c r="Q218" i="18"/>
  <c r="P218" i="18"/>
  <c r="O218" i="18"/>
  <c r="L218" i="18"/>
  <c r="R208" i="18"/>
  <c r="R207" i="18"/>
  <c r="R206" i="18"/>
  <c r="R205" i="18"/>
  <c r="R204" i="18"/>
  <c r="R218" i="18"/>
  <c r="P200" i="18"/>
  <c r="L200" i="18"/>
  <c r="O199" i="18"/>
  <c r="R199" i="18"/>
  <c r="O198" i="18"/>
  <c r="R198" i="18"/>
  <c r="O197" i="18"/>
  <c r="R197" i="18"/>
  <c r="O196" i="18"/>
  <c r="R196" i="18"/>
  <c r="O195" i="18"/>
  <c r="R195" i="18"/>
  <c r="O194" i="18"/>
  <c r="O193" i="18"/>
  <c r="O192" i="18"/>
  <c r="O191" i="18"/>
  <c r="P189" i="18"/>
  <c r="U189" i="18"/>
  <c r="L189" i="18"/>
  <c r="O188" i="18"/>
  <c r="R188" i="18"/>
  <c r="O187" i="18"/>
  <c r="O186" i="18"/>
  <c r="R186" i="18"/>
  <c r="O185" i="18"/>
  <c r="O184" i="18"/>
  <c r="O183" i="18"/>
  <c r="O182" i="18"/>
  <c r="P180" i="18"/>
  <c r="L180" i="18"/>
  <c r="R179" i="18"/>
  <c r="O179" i="18"/>
  <c r="O178" i="18"/>
  <c r="R178" i="18"/>
  <c r="O177" i="18"/>
  <c r="O176" i="18"/>
  <c r="R176" i="18"/>
  <c r="O175" i="18"/>
  <c r="O174" i="18"/>
  <c r="O173" i="18"/>
  <c r="O172" i="18"/>
  <c r="O171" i="18"/>
  <c r="R171" i="18"/>
  <c r="O170" i="18"/>
  <c r="P168" i="18"/>
  <c r="L168" i="18"/>
  <c r="O167" i="18"/>
  <c r="R167" i="18"/>
  <c r="O166" i="18"/>
  <c r="V166" i="18"/>
  <c r="O165" i="18"/>
  <c r="O164" i="18"/>
  <c r="R164" i="18"/>
  <c r="O163" i="18"/>
  <c r="O162" i="18"/>
  <c r="R162" i="18"/>
  <c r="O161" i="18"/>
  <c r="T161" i="18"/>
  <c r="O160" i="18"/>
  <c r="O159" i="18"/>
  <c r="T159" i="18"/>
  <c r="O158" i="18"/>
  <c r="O157" i="18"/>
  <c r="O156" i="18"/>
  <c r="O155" i="18"/>
  <c r="Q153" i="18"/>
  <c r="P153" i="18"/>
  <c r="L153" i="18"/>
  <c r="O152" i="18"/>
  <c r="O151" i="18"/>
  <c r="P149" i="18"/>
  <c r="L149" i="18"/>
  <c r="O148" i="18"/>
  <c r="Q148" i="18"/>
  <c r="O147" i="18"/>
  <c r="R147" i="18"/>
  <c r="O146" i="18"/>
  <c r="O145" i="18"/>
  <c r="P143" i="18"/>
  <c r="L143" i="18"/>
  <c r="O142" i="18"/>
  <c r="O141" i="18"/>
  <c r="O140" i="18"/>
  <c r="R140" i="18"/>
  <c r="O139" i="18"/>
  <c r="R139" i="18"/>
  <c r="P137" i="18"/>
  <c r="U137" i="18"/>
  <c r="L137" i="18"/>
  <c r="O136" i="18"/>
  <c r="Q136" i="18"/>
  <c r="O135" i="18"/>
  <c r="Q135" i="18"/>
  <c r="R135" i="18"/>
  <c r="O134" i="18"/>
  <c r="P132" i="18"/>
  <c r="L132" i="18"/>
  <c r="O131" i="18"/>
  <c r="Q131" i="18"/>
  <c r="O130" i="18"/>
  <c r="O129" i="18"/>
  <c r="O128" i="18"/>
  <c r="O127" i="18"/>
  <c r="O126" i="18"/>
  <c r="P124" i="18"/>
  <c r="L124" i="18"/>
  <c r="O123" i="18"/>
  <c r="O122" i="18"/>
  <c r="R122" i="18"/>
  <c r="O121" i="18"/>
  <c r="O120" i="18"/>
  <c r="Q120" i="18"/>
  <c r="P118" i="18"/>
  <c r="L118" i="18"/>
  <c r="O117" i="18"/>
  <c r="R117" i="18"/>
  <c r="O116" i="18"/>
  <c r="P114" i="18"/>
  <c r="U114" i="18"/>
  <c r="L114" i="18"/>
  <c r="O113" i="18"/>
  <c r="Q113" i="18"/>
  <c r="Q114" i="18"/>
  <c r="O112" i="18"/>
  <c r="R112" i="18"/>
  <c r="P110" i="18"/>
  <c r="L110" i="18"/>
  <c r="S110" i="18"/>
  <c r="O109" i="18"/>
  <c r="O108" i="18"/>
  <c r="O107" i="18"/>
  <c r="O105" i="18"/>
  <c r="Q105" i="18"/>
  <c r="O104" i="18"/>
  <c r="O103" i="18"/>
  <c r="O101" i="18"/>
  <c r="P99" i="18"/>
  <c r="L99" i="18"/>
  <c r="O98" i="18"/>
  <c r="Q98" i="18"/>
  <c r="O97" i="18"/>
  <c r="Q97" i="18"/>
  <c r="R97" i="18"/>
  <c r="O96" i="18"/>
  <c r="Q96" i="18"/>
  <c r="O94" i="18"/>
  <c r="R93" i="18"/>
  <c r="O93" i="18"/>
  <c r="Q93" i="18"/>
  <c r="O92" i="18"/>
  <c r="O99" i="18"/>
  <c r="O90" i="18"/>
  <c r="L88" i="18"/>
  <c r="O87" i="18"/>
  <c r="Q87" i="18"/>
  <c r="O86" i="18"/>
  <c r="O85" i="18"/>
  <c r="O83" i="18"/>
  <c r="Q83" i="18"/>
  <c r="O82" i="18"/>
  <c r="O81" i="18"/>
  <c r="R81" i="18"/>
  <c r="L79" i="18"/>
  <c r="O78" i="18"/>
  <c r="Q77" i="18"/>
  <c r="O77" i="18"/>
  <c r="O76" i="18"/>
  <c r="O74" i="18"/>
  <c r="Q74" i="18"/>
  <c r="O73" i="18"/>
  <c r="R73" i="18"/>
  <c r="O72" i="18"/>
  <c r="O71" i="18"/>
  <c r="Q71" i="18"/>
  <c r="O70" i="18"/>
  <c r="T70" i="18"/>
  <c r="O68" i="18"/>
  <c r="R68" i="18"/>
  <c r="P66" i="18"/>
  <c r="L66" i="18"/>
  <c r="O65" i="18"/>
  <c r="Q65" i="18"/>
  <c r="O64" i="18"/>
  <c r="O63" i="18"/>
  <c r="O61" i="18"/>
  <c r="O60" i="18"/>
  <c r="Q60" i="18"/>
  <c r="O59" i="18"/>
  <c r="R59" i="18"/>
  <c r="P57" i="18"/>
  <c r="L57" i="18"/>
  <c r="O56" i="18"/>
  <c r="R56" i="18"/>
  <c r="O55" i="18"/>
  <c r="O54" i="18"/>
  <c r="R54" i="18"/>
  <c r="O52" i="18"/>
  <c r="R52" i="18"/>
  <c r="O51" i="18"/>
  <c r="Q50" i="18"/>
  <c r="O50" i="18"/>
  <c r="R50" i="18"/>
  <c r="O48" i="18"/>
  <c r="Q48" i="18"/>
  <c r="O47" i="18"/>
  <c r="T47" i="18"/>
  <c r="W47" i="18"/>
  <c r="O46" i="18"/>
  <c r="R46" i="18"/>
  <c r="P44" i="18"/>
  <c r="L44" i="18"/>
  <c r="O43" i="18"/>
  <c r="O42" i="18"/>
  <c r="O41" i="18"/>
  <c r="Q41" i="18"/>
  <c r="O40" i="18"/>
  <c r="O38" i="18"/>
  <c r="Q38" i="18"/>
  <c r="O37" i="18"/>
  <c r="Q37" i="18"/>
  <c r="R37" i="18"/>
  <c r="O36" i="18"/>
  <c r="Q36" i="18"/>
  <c r="O35" i="18"/>
  <c r="O34" i="18"/>
  <c r="I25" i="18"/>
  <c r="J25" i="18"/>
  <c r="M25" i="18"/>
  <c r="P25" i="18"/>
  <c r="Q25" i="18"/>
  <c r="X25" i="18"/>
  <c r="AB25" i="18"/>
  <c r="AC25" i="18"/>
  <c r="AE25" i="18"/>
  <c r="AF25" i="18"/>
  <c r="AG25" i="18"/>
  <c r="AI25" i="18"/>
  <c r="AJ25" i="18"/>
  <c r="I14" i="18"/>
  <c r="J14" i="18"/>
  <c r="L14" i="18"/>
  <c r="M14" i="18"/>
  <c r="P14" i="18"/>
  <c r="Q14" i="18"/>
  <c r="X14" i="18"/>
  <c r="Y14" i="18"/>
  <c r="Z14" i="18"/>
  <c r="AB14" i="18"/>
  <c r="AC14" i="18"/>
  <c r="AE14" i="18"/>
  <c r="AF14" i="18"/>
  <c r="AG14" i="18"/>
  <c r="AI14" i="18"/>
  <c r="AJ14" i="18"/>
  <c r="J218" i="18"/>
  <c r="V218" i="18"/>
  <c r="I218" i="18"/>
  <c r="T218" i="18"/>
  <c r="E218" i="18"/>
  <c r="S218" i="18"/>
  <c r="K208" i="18"/>
  <c r="K207" i="18"/>
  <c r="K206" i="18"/>
  <c r="K205" i="18"/>
  <c r="K204" i="18"/>
  <c r="H203" i="18"/>
  <c r="H202" i="18"/>
  <c r="K202" i="18"/>
  <c r="I200" i="18"/>
  <c r="E200" i="18"/>
  <c r="H199" i="18"/>
  <c r="K199" i="18"/>
  <c r="H198" i="18"/>
  <c r="K198" i="18"/>
  <c r="H197" i="18"/>
  <c r="H196" i="18"/>
  <c r="T196" i="18"/>
  <c r="W196" i="18"/>
  <c r="H195" i="18"/>
  <c r="K195" i="18"/>
  <c r="H194" i="18"/>
  <c r="J194" i="18"/>
  <c r="H193" i="18"/>
  <c r="T193" i="18"/>
  <c r="H192" i="18"/>
  <c r="H191" i="18"/>
  <c r="H190" i="18"/>
  <c r="E189" i="18"/>
  <c r="S189" i="18"/>
  <c r="H188" i="18"/>
  <c r="H187" i="18"/>
  <c r="K187" i="18"/>
  <c r="H186" i="18"/>
  <c r="H185" i="18"/>
  <c r="H184" i="18"/>
  <c r="J184" i="18"/>
  <c r="H183" i="18"/>
  <c r="H182" i="18"/>
  <c r="J182" i="18"/>
  <c r="H181" i="18"/>
  <c r="E180" i="18"/>
  <c r="H179" i="18"/>
  <c r="K179" i="18"/>
  <c r="H178" i="18"/>
  <c r="K178" i="18"/>
  <c r="H177" i="18"/>
  <c r="K177" i="18"/>
  <c r="H176" i="18"/>
  <c r="K176" i="18"/>
  <c r="H175" i="18"/>
  <c r="H174" i="18"/>
  <c r="J174" i="18"/>
  <c r="H173" i="18"/>
  <c r="K173" i="18"/>
  <c r="H172" i="18"/>
  <c r="J172" i="18"/>
  <c r="H171" i="18"/>
  <c r="H180" i="18"/>
  <c r="T180" i="18"/>
  <c r="H170" i="18"/>
  <c r="H169" i="18"/>
  <c r="K169" i="18"/>
  <c r="E168" i="18"/>
  <c r="S168" i="18"/>
  <c r="H167" i="18"/>
  <c r="H166" i="18"/>
  <c r="T166" i="18"/>
  <c r="W166" i="18"/>
  <c r="H165" i="18"/>
  <c r="H164" i="18"/>
  <c r="T164" i="18"/>
  <c r="W164" i="18"/>
  <c r="H163" i="18"/>
  <c r="J163" i="18"/>
  <c r="H162" i="18"/>
  <c r="H161" i="18"/>
  <c r="H160" i="18"/>
  <c r="H159" i="18"/>
  <c r="H158" i="18"/>
  <c r="H157" i="18"/>
  <c r="J157" i="18"/>
  <c r="H156" i="18"/>
  <c r="H155" i="18"/>
  <c r="T155" i="18"/>
  <c r="W155" i="18"/>
  <c r="H154" i="18"/>
  <c r="J153" i="18"/>
  <c r="V153" i="18"/>
  <c r="I153" i="18"/>
  <c r="U153" i="18"/>
  <c r="E153" i="18"/>
  <c r="S153" i="18"/>
  <c r="H152" i="18"/>
  <c r="K152" i="18"/>
  <c r="H151" i="18"/>
  <c r="H150" i="18"/>
  <c r="E149" i="18"/>
  <c r="H148" i="18"/>
  <c r="K148" i="18"/>
  <c r="H147" i="18"/>
  <c r="K147" i="18"/>
  <c r="H146" i="18"/>
  <c r="K146" i="18"/>
  <c r="H145" i="18"/>
  <c r="J145" i="18"/>
  <c r="J149" i="18"/>
  <c r="H144" i="18"/>
  <c r="I143" i="18"/>
  <c r="U143" i="18"/>
  <c r="E143" i="18"/>
  <c r="S143" i="18"/>
  <c r="H142" i="18"/>
  <c r="H141" i="18"/>
  <c r="J141" i="18"/>
  <c r="H140" i="18"/>
  <c r="H143" i="18"/>
  <c r="H139" i="18"/>
  <c r="H138" i="18"/>
  <c r="K138" i="18"/>
  <c r="I137" i="18"/>
  <c r="E137" i="18"/>
  <c r="H136" i="18"/>
  <c r="H135" i="18"/>
  <c r="J135" i="18"/>
  <c r="V135" i="18"/>
  <c r="H134" i="18"/>
  <c r="H137" i="18"/>
  <c r="H133" i="18"/>
  <c r="E132" i="18"/>
  <c r="H131" i="18"/>
  <c r="K131" i="18"/>
  <c r="H130" i="18"/>
  <c r="T130" i="18"/>
  <c r="H129" i="18"/>
  <c r="H128" i="18"/>
  <c r="H127" i="18"/>
  <c r="H126" i="18"/>
  <c r="H125" i="18"/>
  <c r="I124" i="18"/>
  <c r="E124" i="18"/>
  <c r="S124" i="18"/>
  <c r="H123" i="18"/>
  <c r="J123" i="18"/>
  <c r="K123" i="18"/>
  <c r="H122" i="18"/>
  <c r="K122" i="18"/>
  <c r="H121" i="18"/>
  <c r="J121" i="18"/>
  <c r="H120" i="18"/>
  <c r="H119" i="18"/>
  <c r="I118" i="18"/>
  <c r="E118" i="18"/>
  <c r="S118" i="18"/>
  <c r="H117" i="18"/>
  <c r="H116" i="18"/>
  <c r="H115" i="18"/>
  <c r="I114" i="18"/>
  <c r="E114" i="18"/>
  <c r="S114" i="18"/>
  <c r="H113" i="18"/>
  <c r="J113" i="18"/>
  <c r="J114" i="18"/>
  <c r="V114" i="18"/>
  <c r="H112" i="18"/>
  <c r="H111" i="18"/>
  <c r="E110" i="18"/>
  <c r="H109" i="18"/>
  <c r="K109" i="18"/>
  <c r="H108" i="18"/>
  <c r="H107" i="18"/>
  <c r="H106" i="18"/>
  <c r="H105" i="18"/>
  <c r="H104" i="18"/>
  <c r="H103" i="18"/>
  <c r="J103" i="18"/>
  <c r="H102" i="18"/>
  <c r="K102" i="18"/>
  <c r="H101" i="18"/>
  <c r="H110" i="18"/>
  <c r="H100" i="18"/>
  <c r="E99" i="18"/>
  <c r="H98" i="18"/>
  <c r="H97" i="18"/>
  <c r="H96" i="18"/>
  <c r="H95" i="18"/>
  <c r="K95" i="18"/>
  <c r="J94" i="18"/>
  <c r="H94" i="18"/>
  <c r="K94" i="18"/>
  <c r="H93" i="18"/>
  <c r="J93" i="18"/>
  <c r="H92" i="18"/>
  <c r="H91" i="18"/>
  <c r="H90" i="18"/>
  <c r="H89" i="18"/>
  <c r="K89" i="18"/>
  <c r="E88" i="18"/>
  <c r="S88" i="18"/>
  <c r="H87" i="18"/>
  <c r="J87" i="18"/>
  <c r="H86" i="18"/>
  <c r="J86" i="18"/>
  <c r="H85" i="18"/>
  <c r="H84" i="18"/>
  <c r="J84" i="18"/>
  <c r="H83" i="18"/>
  <c r="H82" i="18"/>
  <c r="J82" i="18"/>
  <c r="H81" i="18"/>
  <c r="T81" i="18"/>
  <c r="W81" i="18"/>
  <c r="H80" i="18"/>
  <c r="E79" i="18"/>
  <c r="S79" i="18"/>
  <c r="H78" i="18"/>
  <c r="H77" i="18"/>
  <c r="H76" i="18"/>
  <c r="H75" i="18"/>
  <c r="H74" i="18"/>
  <c r="J74" i="18"/>
  <c r="H73" i="18"/>
  <c r="T73" i="18"/>
  <c r="W73" i="18"/>
  <c r="H72" i="18"/>
  <c r="J72" i="18"/>
  <c r="H71" i="18"/>
  <c r="J71" i="18"/>
  <c r="K71" i="18"/>
  <c r="H70" i="18"/>
  <c r="H69" i="18"/>
  <c r="H68" i="18"/>
  <c r="K68" i="18"/>
  <c r="K67" i="18"/>
  <c r="H67" i="18"/>
  <c r="E66" i="18"/>
  <c r="H65" i="18"/>
  <c r="T65" i="18"/>
  <c r="H64" i="18"/>
  <c r="H63" i="18"/>
  <c r="H62" i="18"/>
  <c r="K62" i="18"/>
  <c r="H61" i="18"/>
  <c r="J61" i="18"/>
  <c r="H60" i="18"/>
  <c r="H59" i="18"/>
  <c r="T59" i="18"/>
  <c r="H58" i="18"/>
  <c r="E57" i="18"/>
  <c r="V56" i="18"/>
  <c r="H56" i="18"/>
  <c r="H55" i="18"/>
  <c r="J55" i="18"/>
  <c r="K55" i="18"/>
  <c r="H54" i="18"/>
  <c r="H53" i="18"/>
  <c r="H52" i="18"/>
  <c r="V52" i="18"/>
  <c r="I51" i="18"/>
  <c r="H51" i="18"/>
  <c r="H50" i="18"/>
  <c r="J50" i="18"/>
  <c r="H49" i="18"/>
  <c r="J48" i="18"/>
  <c r="V48" i="18"/>
  <c r="H48" i="18"/>
  <c r="H47" i="18"/>
  <c r="J47" i="18"/>
  <c r="K47" i="18"/>
  <c r="H46" i="18"/>
  <c r="H57" i="18"/>
  <c r="H45" i="18"/>
  <c r="K45" i="18"/>
  <c r="E44" i="18"/>
  <c r="H43" i="18"/>
  <c r="I42" i="18"/>
  <c r="H42" i="18"/>
  <c r="H41" i="18"/>
  <c r="J41" i="18"/>
  <c r="H40" i="18"/>
  <c r="K40" i="18"/>
  <c r="H39" i="18"/>
  <c r="K39" i="18"/>
  <c r="H38" i="18"/>
  <c r="I37" i="18"/>
  <c r="I43" i="18"/>
  <c r="U43" i="18"/>
  <c r="W43" i="18"/>
  <c r="H37" i="18"/>
  <c r="J37" i="18"/>
  <c r="H36" i="18"/>
  <c r="T36" i="18"/>
  <c r="H35" i="18"/>
  <c r="K35" i="18"/>
  <c r="H34" i="18"/>
  <c r="U218" i="18"/>
  <c r="W218" i="18"/>
  <c r="AK208" i="18"/>
  <c r="V208" i="18"/>
  <c r="U208" i="18"/>
  <c r="T208" i="18"/>
  <c r="W208" i="18"/>
  <c r="S208" i="18"/>
  <c r="AK207" i="18"/>
  <c r="V207" i="18"/>
  <c r="U207" i="18"/>
  <c r="T207" i="18"/>
  <c r="W207" i="18"/>
  <c r="S207" i="18"/>
  <c r="AK206" i="18"/>
  <c r="AK218" i="18"/>
  <c r="V206" i="18"/>
  <c r="U206" i="18"/>
  <c r="W206" i="18"/>
  <c r="T206" i="18"/>
  <c r="S206" i="18"/>
  <c r="AK205" i="18"/>
  <c r="V205" i="18"/>
  <c r="U205" i="18"/>
  <c r="T205" i="18"/>
  <c r="W205" i="18"/>
  <c r="S205" i="18"/>
  <c r="AK204" i="18"/>
  <c r="V204" i="18"/>
  <c r="U204" i="18"/>
  <c r="T204" i="18"/>
  <c r="S204" i="18"/>
  <c r="AH203" i="18"/>
  <c r="AK203" i="18"/>
  <c r="V203" i="18"/>
  <c r="U203" i="18"/>
  <c r="S203" i="18"/>
  <c r="AH202" i="18"/>
  <c r="AK202" i="18"/>
  <c r="V202" i="18"/>
  <c r="U202" i="18"/>
  <c r="T202" i="18"/>
  <c r="S202" i="18"/>
  <c r="AI200" i="18"/>
  <c r="AE200" i="18"/>
  <c r="AH199" i="18"/>
  <c r="AK199" i="18"/>
  <c r="V199" i="18"/>
  <c r="U199" i="18"/>
  <c r="S199" i="18"/>
  <c r="AH198" i="18"/>
  <c r="AK198" i="18"/>
  <c r="V198" i="18"/>
  <c r="U198" i="18"/>
  <c r="S198" i="18"/>
  <c r="AH197" i="18"/>
  <c r="AK197" i="18"/>
  <c r="V197" i="18"/>
  <c r="U197" i="18"/>
  <c r="S197" i="18"/>
  <c r="AH196" i="18"/>
  <c r="AK196" i="18"/>
  <c r="V196" i="18"/>
  <c r="U196" i="18"/>
  <c r="S196" i="18"/>
  <c r="AH195" i="18"/>
  <c r="AK195" i="18"/>
  <c r="V195" i="18"/>
  <c r="U195" i="18"/>
  <c r="T195" i="18"/>
  <c r="S195" i="18"/>
  <c r="AH194" i="18"/>
  <c r="AJ194" i="18"/>
  <c r="U194" i="18"/>
  <c r="S194" i="18"/>
  <c r="AH193" i="18"/>
  <c r="U193" i="18"/>
  <c r="S193" i="18"/>
  <c r="AH192" i="18"/>
  <c r="U192" i="18"/>
  <c r="S192" i="18"/>
  <c r="S200" i="18"/>
  <c r="AH191" i="18"/>
  <c r="U191" i="18"/>
  <c r="U200" i="18"/>
  <c r="S191" i="18"/>
  <c r="AH190" i="18"/>
  <c r="V190" i="18"/>
  <c r="U190" i="18"/>
  <c r="S190" i="18"/>
  <c r="AI189" i="18"/>
  <c r="AE189" i="18"/>
  <c r="AH188" i="18"/>
  <c r="AK188" i="18"/>
  <c r="V188" i="18"/>
  <c r="U188" i="18"/>
  <c r="S188" i="18"/>
  <c r="AH187" i="18"/>
  <c r="AK187" i="18"/>
  <c r="V187" i="18"/>
  <c r="U187" i="18"/>
  <c r="S187" i="18"/>
  <c r="AH186" i="18"/>
  <c r="AK186" i="18"/>
  <c r="V186" i="18"/>
  <c r="U186" i="18"/>
  <c r="S186" i="18"/>
  <c r="AH185" i="18"/>
  <c r="U185" i="18"/>
  <c r="S185" i="18"/>
  <c r="AH184" i="18"/>
  <c r="AJ184" i="18"/>
  <c r="AK184" i="18"/>
  <c r="U184" i="18"/>
  <c r="S184" i="18"/>
  <c r="AH183" i="18"/>
  <c r="AJ183" i="18"/>
  <c r="U183" i="18"/>
  <c r="S183" i="18"/>
  <c r="AH182" i="18"/>
  <c r="AJ182" i="18"/>
  <c r="AK182" i="18"/>
  <c r="U182" i="18"/>
  <c r="S182" i="18"/>
  <c r="AH181" i="18"/>
  <c r="AK181" i="18"/>
  <c r="V181" i="18"/>
  <c r="U181" i="18"/>
  <c r="S181" i="18"/>
  <c r="AI180" i="18"/>
  <c r="AE180" i="18"/>
  <c r="S180" i="18"/>
  <c r="AH179" i="18"/>
  <c r="AK179" i="18"/>
  <c r="V179" i="18"/>
  <c r="U179" i="18"/>
  <c r="T179" i="18"/>
  <c r="W179" i="18"/>
  <c r="S179" i="18"/>
  <c r="AH178" i="18"/>
  <c r="AK178" i="18"/>
  <c r="V178" i="18"/>
  <c r="U178" i="18"/>
  <c r="S178" i="18"/>
  <c r="AH177" i="18"/>
  <c r="AK177" i="18"/>
  <c r="V177" i="18"/>
  <c r="U177" i="18"/>
  <c r="S177" i="18"/>
  <c r="AH176" i="18"/>
  <c r="AK176" i="18"/>
  <c r="V176" i="18"/>
  <c r="U176" i="18"/>
  <c r="S176" i="18"/>
  <c r="AH175" i="18"/>
  <c r="U175" i="18"/>
  <c r="S175" i="18"/>
  <c r="AH174" i="18"/>
  <c r="U174" i="18"/>
  <c r="S174" i="18"/>
  <c r="AH173" i="18"/>
  <c r="U173" i="18"/>
  <c r="S173" i="18"/>
  <c r="AH172" i="18"/>
  <c r="AJ172" i="18"/>
  <c r="U172" i="18"/>
  <c r="S172" i="18"/>
  <c r="AH171" i="18"/>
  <c r="AH180" i="18"/>
  <c r="U171" i="18"/>
  <c r="S171" i="18"/>
  <c r="AH170" i="18"/>
  <c r="U170" i="18"/>
  <c r="S170" i="18"/>
  <c r="AH169" i="18"/>
  <c r="AK169" i="18"/>
  <c r="V169" i="18"/>
  <c r="U169" i="18"/>
  <c r="S169" i="18"/>
  <c r="AI168" i="18"/>
  <c r="AE168" i="18"/>
  <c r="AH167" i="18"/>
  <c r="AK167" i="18"/>
  <c r="V167" i="18"/>
  <c r="U167" i="18"/>
  <c r="S167" i="18"/>
  <c r="AH166" i="18"/>
  <c r="AK166" i="18"/>
  <c r="U166" i="18"/>
  <c r="S166" i="18"/>
  <c r="AH165" i="18"/>
  <c r="AJ165" i="18"/>
  <c r="U165" i="18"/>
  <c r="S165" i="18"/>
  <c r="AH164" i="18"/>
  <c r="AK164" i="18"/>
  <c r="U164" i="18"/>
  <c r="S164" i="18"/>
  <c r="AH163" i="18"/>
  <c r="U163" i="18"/>
  <c r="S163" i="18"/>
  <c r="AH162" i="18"/>
  <c r="U162" i="18"/>
  <c r="S162" i="18"/>
  <c r="AH161" i="18"/>
  <c r="U161" i="18"/>
  <c r="S161" i="18"/>
  <c r="AH160" i="18"/>
  <c r="AK160" i="18"/>
  <c r="U160" i="18"/>
  <c r="S160" i="18"/>
  <c r="AH159" i="18"/>
  <c r="AK159" i="18"/>
  <c r="U159" i="18"/>
  <c r="S159" i="18"/>
  <c r="AH158" i="18"/>
  <c r="U158" i="18"/>
  <c r="S158" i="18"/>
  <c r="AH157" i="18"/>
  <c r="AJ157" i="18"/>
  <c r="AK157" i="18"/>
  <c r="U157" i="18"/>
  <c r="S157" i="18"/>
  <c r="AH156" i="18"/>
  <c r="U156" i="18"/>
  <c r="S156" i="18"/>
  <c r="AH155" i="18"/>
  <c r="U155" i="18"/>
  <c r="S155" i="18"/>
  <c r="AH154" i="18"/>
  <c r="AK154" i="18"/>
  <c r="V154" i="18"/>
  <c r="U154" i="18"/>
  <c r="S154" i="18"/>
  <c r="AJ153" i="18"/>
  <c r="AI153" i="18"/>
  <c r="AH152" i="18"/>
  <c r="AK152" i="18"/>
  <c r="V152" i="18"/>
  <c r="U152" i="18"/>
  <c r="S152" i="18"/>
  <c r="AH151" i="18"/>
  <c r="AK151" i="18"/>
  <c r="AK153" i="18"/>
  <c r="V151" i="18"/>
  <c r="U151" i="18"/>
  <c r="S151" i="18"/>
  <c r="AK150" i="18"/>
  <c r="AH150" i="18"/>
  <c r="V150" i="18"/>
  <c r="U150" i="18"/>
  <c r="S150" i="18"/>
  <c r="AI149" i="18"/>
  <c r="AE149" i="18"/>
  <c r="S149" i="18"/>
  <c r="AH148" i="18"/>
  <c r="AJ148" i="18"/>
  <c r="U148" i="18"/>
  <c r="S148" i="18"/>
  <c r="AH147" i="18"/>
  <c r="AJ147" i="18"/>
  <c r="AK147" i="18"/>
  <c r="V147" i="18"/>
  <c r="U147" i="18"/>
  <c r="S147" i="18"/>
  <c r="AH146" i="18"/>
  <c r="AJ146" i="18"/>
  <c r="U146" i="18"/>
  <c r="S146" i="18"/>
  <c r="AH145" i="18"/>
  <c r="U145" i="18"/>
  <c r="S145" i="18"/>
  <c r="AH144" i="18"/>
  <c r="V144" i="18"/>
  <c r="U144" i="18"/>
  <c r="S144" i="18"/>
  <c r="AI143" i="18"/>
  <c r="AE143" i="18"/>
  <c r="AH142" i="18"/>
  <c r="U142" i="18"/>
  <c r="S142" i="18"/>
  <c r="AH141" i="18"/>
  <c r="U141" i="18"/>
  <c r="S141" i="18"/>
  <c r="AH140" i="18"/>
  <c r="V140" i="18"/>
  <c r="U140" i="18"/>
  <c r="S140" i="18"/>
  <c r="AH139" i="18"/>
  <c r="V139" i="18"/>
  <c r="U139" i="18"/>
  <c r="S139" i="18"/>
  <c r="AH138" i="18"/>
  <c r="AK138" i="18"/>
  <c r="V138" i="18"/>
  <c r="U138" i="18"/>
  <c r="T138" i="18"/>
  <c r="W138" i="18"/>
  <c r="S138" i="18"/>
  <c r="AI137" i="18"/>
  <c r="AE137" i="18"/>
  <c r="S137" i="18"/>
  <c r="AH136" i="18"/>
  <c r="AJ136" i="18"/>
  <c r="AK136" i="18"/>
  <c r="U136" i="18"/>
  <c r="S136" i="18"/>
  <c r="AH135" i="18"/>
  <c r="U135" i="18"/>
  <c r="S135" i="18"/>
  <c r="AH134" i="18"/>
  <c r="U134" i="18"/>
  <c r="S134" i="18"/>
  <c r="AH133" i="18"/>
  <c r="AK133" i="18"/>
  <c r="V133" i="18"/>
  <c r="U133" i="18"/>
  <c r="S133" i="18"/>
  <c r="AI132" i="18"/>
  <c r="AE132" i="18"/>
  <c r="U132" i="18"/>
  <c r="AH131" i="18"/>
  <c r="AJ131" i="18"/>
  <c r="AK131" i="18"/>
  <c r="U131" i="18"/>
  <c r="T131" i="18"/>
  <c r="S131" i="18"/>
  <c r="AH130" i="18"/>
  <c r="U130" i="18"/>
  <c r="S130" i="18"/>
  <c r="AH129" i="18"/>
  <c r="U129" i="18"/>
  <c r="S129" i="18"/>
  <c r="AH128" i="18"/>
  <c r="AJ128" i="18"/>
  <c r="U128" i="18"/>
  <c r="S128" i="18"/>
  <c r="AH127" i="18"/>
  <c r="AJ127" i="18"/>
  <c r="U127" i="18"/>
  <c r="S127" i="18"/>
  <c r="AH126" i="18"/>
  <c r="U126" i="18"/>
  <c r="S126" i="18"/>
  <c r="AH125" i="18"/>
  <c r="AK125" i="18"/>
  <c r="V125" i="18"/>
  <c r="U125" i="18"/>
  <c r="S125" i="18"/>
  <c r="AI124" i="18"/>
  <c r="AE124" i="18"/>
  <c r="AH123" i="18"/>
  <c r="AJ123" i="18"/>
  <c r="U123" i="18"/>
  <c r="S123" i="18"/>
  <c r="AH122" i="18"/>
  <c r="V122" i="18"/>
  <c r="U122" i="18"/>
  <c r="S122" i="18"/>
  <c r="AH121" i="18"/>
  <c r="U121" i="18"/>
  <c r="S121" i="18"/>
  <c r="AH120" i="18"/>
  <c r="U120" i="18"/>
  <c r="S120" i="18"/>
  <c r="AH119" i="18"/>
  <c r="V119" i="18"/>
  <c r="U119" i="18"/>
  <c r="S119" i="18"/>
  <c r="AI118" i="18"/>
  <c r="AE118" i="18"/>
  <c r="AH117" i="18"/>
  <c r="AK117" i="18"/>
  <c r="V117" i="18"/>
  <c r="U117" i="18"/>
  <c r="S117" i="18"/>
  <c r="AH116" i="18"/>
  <c r="AJ116" i="18"/>
  <c r="U116" i="18"/>
  <c r="W116" i="18"/>
  <c r="S116" i="18"/>
  <c r="AH115" i="18"/>
  <c r="AK115" i="18"/>
  <c r="V115" i="18"/>
  <c r="U115" i="18"/>
  <c r="S115" i="18"/>
  <c r="AI114" i="18"/>
  <c r="AH113" i="18"/>
  <c r="U113" i="18"/>
  <c r="S113" i="18"/>
  <c r="AH112" i="18"/>
  <c r="AK112" i="18"/>
  <c r="V112" i="18"/>
  <c r="U112" i="18"/>
  <c r="T112" i="18"/>
  <c r="S112" i="18"/>
  <c r="AH111" i="18"/>
  <c r="AK111" i="18"/>
  <c r="V111" i="18"/>
  <c r="U111" i="18"/>
  <c r="S111" i="18"/>
  <c r="AI110" i="18"/>
  <c r="AE110" i="18"/>
  <c r="AH109" i="18"/>
  <c r="V109" i="18"/>
  <c r="U109" i="18"/>
  <c r="S109" i="18"/>
  <c r="AH108" i="18"/>
  <c r="U108" i="18"/>
  <c r="S108" i="18"/>
  <c r="AH107" i="18"/>
  <c r="U107" i="18"/>
  <c r="S107" i="18"/>
  <c r="AH106" i="18"/>
  <c r="AK106" i="18"/>
  <c r="V106" i="18"/>
  <c r="U106" i="18"/>
  <c r="S106" i="18"/>
  <c r="AH105" i="18"/>
  <c r="AJ105" i="18"/>
  <c r="AK105" i="18"/>
  <c r="U105" i="18"/>
  <c r="S105" i="18"/>
  <c r="AH104" i="18"/>
  <c r="U104" i="18"/>
  <c r="S104" i="18"/>
  <c r="AH103" i="18"/>
  <c r="AJ103" i="18"/>
  <c r="U103" i="18"/>
  <c r="S103" i="18"/>
  <c r="AH102" i="18"/>
  <c r="V102" i="18"/>
  <c r="U102" i="18"/>
  <c r="S102" i="18"/>
  <c r="AH101" i="18"/>
  <c r="V101" i="18"/>
  <c r="U101" i="18"/>
  <c r="S101" i="18"/>
  <c r="AH100" i="18"/>
  <c r="AK100" i="18"/>
  <c r="V100" i="18"/>
  <c r="U100" i="18"/>
  <c r="S100" i="18"/>
  <c r="AI99" i="18"/>
  <c r="AE99" i="18"/>
  <c r="U99" i="18"/>
  <c r="AH98" i="18"/>
  <c r="AJ98" i="18"/>
  <c r="U98" i="18"/>
  <c r="S98" i="18"/>
  <c r="AH97" i="18"/>
  <c r="AJ97" i="18"/>
  <c r="U97" i="18"/>
  <c r="S97" i="18"/>
  <c r="T97" i="18"/>
  <c r="AH96" i="18"/>
  <c r="U96" i="18"/>
  <c r="S96" i="18"/>
  <c r="AH95" i="18"/>
  <c r="AK95" i="18"/>
  <c r="V95" i="18"/>
  <c r="U95" i="18"/>
  <c r="S95" i="18"/>
  <c r="AH94" i="18"/>
  <c r="AJ94" i="18"/>
  <c r="AK94" i="18"/>
  <c r="U94" i="18"/>
  <c r="S94" i="18"/>
  <c r="T94" i="18"/>
  <c r="AH93" i="18"/>
  <c r="U93" i="18"/>
  <c r="S93" i="18"/>
  <c r="AH92" i="18"/>
  <c r="U92" i="18"/>
  <c r="S92" i="18"/>
  <c r="AH91" i="18"/>
  <c r="AK91" i="18"/>
  <c r="V91" i="18"/>
  <c r="U91" i="18"/>
  <c r="S91" i="18"/>
  <c r="AH90" i="18"/>
  <c r="AK90" i="18"/>
  <c r="V90" i="18"/>
  <c r="U90" i="18"/>
  <c r="S90" i="18"/>
  <c r="AH89" i="18"/>
  <c r="AK89" i="18"/>
  <c r="V89" i="18"/>
  <c r="U89" i="18"/>
  <c r="T89" i="18"/>
  <c r="W89" i="18"/>
  <c r="S89" i="18"/>
  <c r="AI88" i="18"/>
  <c r="AE88" i="18"/>
  <c r="AH87" i="18"/>
  <c r="AJ87" i="18"/>
  <c r="AK87" i="18"/>
  <c r="U87" i="18"/>
  <c r="S87" i="18"/>
  <c r="AH86" i="18"/>
  <c r="AJ86" i="18"/>
  <c r="AK86" i="18"/>
  <c r="U86" i="18"/>
  <c r="S86" i="18"/>
  <c r="AH85" i="18"/>
  <c r="U85" i="18"/>
  <c r="S85" i="18"/>
  <c r="AH84" i="18"/>
  <c r="U84" i="18"/>
  <c r="S84" i="18"/>
  <c r="AH83" i="18"/>
  <c r="AJ83" i="18"/>
  <c r="AK83" i="18"/>
  <c r="U83" i="18"/>
  <c r="S83" i="18"/>
  <c r="AH82" i="18"/>
  <c r="U82" i="18"/>
  <c r="S82" i="18"/>
  <c r="AH81" i="18"/>
  <c r="V81" i="18"/>
  <c r="U81" i="18"/>
  <c r="S81" i="18"/>
  <c r="AH80" i="18"/>
  <c r="AK80" i="18"/>
  <c r="V80" i="18"/>
  <c r="U80" i="18"/>
  <c r="S80" i="18"/>
  <c r="AI79" i="18"/>
  <c r="AE79" i="18"/>
  <c r="AH78" i="18"/>
  <c r="AK78" i="18"/>
  <c r="U78" i="18"/>
  <c r="S78" i="18"/>
  <c r="AH77" i="18"/>
  <c r="AH79" i="18"/>
  <c r="U77" i="18"/>
  <c r="S77" i="18"/>
  <c r="AH76" i="18"/>
  <c r="AJ76" i="18"/>
  <c r="AK76" i="18"/>
  <c r="U76" i="18"/>
  <c r="S76" i="18"/>
  <c r="AH75" i="18"/>
  <c r="AK75" i="18"/>
  <c r="V75" i="18"/>
  <c r="U75" i="18"/>
  <c r="S75" i="18"/>
  <c r="AH74" i="18"/>
  <c r="AJ74" i="18"/>
  <c r="AK74" i="18"/>
  <c r="U74" i="18"/>
  <c r="S74" i="18"/>
  <c r="AH73" i="18"/>
  <c r="AK73" i="18"/>
  <c r="V73" i="18"/>
  <c r="U73" i="18"/>
  <c r="S73" i="18"/>
  <c r="AH72" i="18"/>
  <c r="U72" i="18"/>
  <c r="S72" i="18"/>
  <c r="AH71" i="18"/>
  <c r="U71" i="18"/>
  <c r="S71" i="18"/>
  <c r="AH70" i="18"/>
  <c r="AJ70" i="18"/>
  <c r="AK70" i="18"/>
  <c r="U70" i="18"/>
  <c r="S70" i="18"/>
  <c r="AH69" i="18"/>
  <c r="AK69" i="18"/>
  <c r="V69" i="18"/>
  <c r="U69" i="18"/>
  <c r="S69" i="18"/>
  <c r="AH68" i="18"/>
  <c r="AK68" i="18"/>
  <c r="V68" i="18"/>
  <c r="U68" i="18"/>
  <c r="S68" i="18"/>
  <c r="AH67" i="18"/>
  <c r="AK67" i="18"/>
  <c r="V67" i="18"/>
  <c r="U67" i="18"/>
  <c r="W67" i="18"/>
  <c r="T67" i="18"/>
  <c r="S67" i="18"/>
  <c r="AI66" i="18"/>
  <c r="AE66" i="18"/>
  <c r="U66" i="18"/>
  <c r="U65" i="18"/>
  <c r="S65" i="18"/>
  <c r="U64" i="18"/>
  <c r="S64" i="18"/>
  <c r="U63" i="18"/>
  <c r="S63" i="18"/>
  <c r="V62" i="18"/>
  <c r="U62" i="18"/>
  <c r="T62" i="18"/>
  <c r="W62" i="18"/>
  <c r="S62" i="18"/>
  <c r="U61" i="18"/>
  <c r="T61" i="18"/>
  <c r="S61" i="18"/>
  <c r="U60" i="18"/>
  <c r="S60" i="18"/>
  <c r="V59" i="18"/>
  <c r="U59" i="18"/>
  <c r="W59" i="18"/>
  <c r="S59" i="18"/>
  <c r="AH58" i="18"/>
  <c r="AK58" i="18"/>
  <c r="V58" i="18"/>
  <c r="U58" i="18"/>
  <c r="S58" i="18"/>
  <c r="AE57" i="18"/>
  <c r="S57" i="18"/>
  <c r="AH56" i="18"/>
  <c r="AK56" i="18"/>
  <c r="U56" i="18"/>
  <c r="S56" i="18"/>
  <c r="AH55" i="18"/>
  <c r="U55" i="18"/>
  <c r="S55" i="18"/>
  <c r="AH54" i="18"/>
  <c r="AK54" i="18"/>
  <c r="U54" i="18"/>
  <c r="S54" i="18"/>
  <c r="AH53" i="18"/>
  <c r="AJ53" i="18"/>
  <c r="S53" i="18"/>
  <c r="AH52" i="18"/>
  <c r="AK52" i="18"/>
  <c r="U52" i="18"/>
  <c r="S52" i="18"/>
  <c r="AI51" i="18"/>
  <c r="AH51" i="18"/>
  <c r="S51" i="18"/>
  <c r="AH50" i="18"/>
  <c r="AJ50" i="18"/>
  <c r="AK50" i="18"/>
  <c r="U50" i="18"/>
  <c r="T50" i="18"/>
  <c r="S50" i="18"/>
  <c r="AH49" i="18"/>
  <c r="AJ49" i="18"/>
  <c r="U49" i="18"/>
  <c r="S49" i="18"/>
  <c r="AH48" i="18"/>
  <c r="U48" i="18"/>
  <c r="S48" i="18"/>
  <c r="AH47" i="18"/>
  <c r="AH57" i="18"/>
  <c r="U47" i="18"/>
  <c r="S47" i="18"/>
  <c r="AH46" i="18"/>
  <c r="U46" i="18"/>
  <c r="S46" i="18"/>
  <c r="AH45" i="18"/>
  <c r="AK45" i="18"/>
  <c r="V45" i="18"/>
  <c r="U45" i="18"/>
  <c r="T45" i="18"/>
  <c r="W45" i="18"/>
  <c r="S45" i="18"/>
  <c r="AE44" i="18"/>
  <c r="AH43" i="18"/>
  <c r="S43" i="18"/>
  <c r="AI42" i="18"/>
  <c r="AH42" i="18"/>
  <c r="S42" i="18"/>
  <c r="U42" i="18"/>
  <c r="AH41" i="18"/>
  <c r="AJ41" i="18"/>
  <c r="AK41" i="18"/>
  <c r="U41" i="18"/>
  <c r="S41" i="18"/>
  <c r="AH40" i="18"/>
  <c r="AK40" i="18"/>
  <c r="U40" i="18"/>
  <c r="S40" i="18"/>
  <c r="AH39" i="18"/>
  <c r="AK39" i="18"/>
  <c r="V39" i="18"/>
  <c r="U39" i="18"/>
  <c r="T39" i="18"/>
  <c r="S39" i="18"/>
  <c r="AH38" i="18"/>
  <c r="AJ38" i="18"/>
  <c r="AI37" i="18"/>
  <c r="AH37" i="18"/>
  <c r="AH36" i="18"/>
  <c r="U36" i="18"/>
  <c r="S36" i="18"/>
  <c r="AK35" i="18"/>
  <c r="V35" i="18"/>
  <c r="U35" i="18"/>
  <c r="S35" i="18"/>
  <c r="T35" i="18"/>
  <c r="AH24" i="18"/>
  <c r="AK24" i="18"/>
  <c r="AH22" i="18"/>
  <c r="AK22" i="18"/>
  <c r="AH20" i="18"/>
  <c r="AH19" i="18"/>
  <c r="AK19" i="18"/>
  <c r="AH18" i="18"/>
  <c r="AH17" i="18"/>
  <c r="AK17" i="18"/>
  <c r="AA24" i="18"/>
  <c r="AD24" i="18"/>
  <c r="AA22" i="18"/>
  <c r="AA20" i="18"/>
  <c r="AD20" i="18"/>
  <c r="AA19" i="18"/>
  <c r="AA18" i="18"/>
  <c r="AA17" i="18"/>
  <c r="S19" i="18"/>
  <c r="U19" i="18"/>
  <c r="V19" i="18"/>
  <c r="S20" i="18"/>
  <c r="U20" i="18"/>
  <c r="V20" i="18"/>
  <c r="V25" i="18"/>
  <c r="S22" i="18"/>
  <c r="U22" i="18"/>
  <c r="V22" i="18"/>
  <c r="S24" i="18"/>
  <c r="U24" i="18"/>
  <c r="V24" i="18"/>
  <c r="O24" i="18"/>
  <c r="R24" i="18"/>
  <c r="O22" i="18"/>
  <c r="O20" i="18"/>
  <c r="R20" i="18"/>
  <c r="O19" i="18"/>
  <c r="R19" i="18"/>
  <c r="O18" i="18"/>
  <c r="O17" i="18"/>
  <c r="S13" i="18"/>
  <c r="U13" i="18"/>
  <c r="V13" i="18"/>
  <c r="E14" i="18"/>
  <c r="AH13" i="18"/>
  <c r="AK13" i="18"/>
  <c r="AH12" i="18"/>
  <c r="AK12" i="18"/>
  <c r="AH11" i="18"/>
  <c r="AH10" i="18"/>
  <c r="AA13" i="18"/>
  <c r="AD13" i="18"/>
  <c r="AA12" i="18"/>
  <c r="AD12" i="18"/>
  <c r="AA11" i="18"/>
  <c r="AA10" i="18"/>
  <c r="O13" i="18"/>
  <c r="R13" i="18"/>
  <c r="O12" i="18"/>
  <c r="O11" i="18"/>
  <c r="O10" i="18"/>
  <c r="O14" i="18"/>
  <c r="H13" i="18"/>
  <c r="K13" i="18"/>
  <c r="H30" i="18"/>
  <c r="H24" i="18"/>
  <c r="K24" i="18"/>
  <c r="H22" i="18"/>
  <c r="K22" i="18"/>
  <c r="H20" i="18"/>
  <c r="K20" i="18"/>
  <c r="H19" i="18"/>
  <c r="K19" i="18"/>
  <c r="H18" i="18"/>
  <c r="H17" i="18"/>
  <c r="AK127" i="18"/>
  <c r="AD36" i="18"/>
  <c r="AA44" i="18"/>
  <c r="AD71" i="18"/>
  <c r="AA79" i="18"/>
  <c r="AD84" i="18"/>
  <c r="AD86" i="18"/>
  <c r="AD98" i="18"/>
  <c r="AD103" i="18"/>
  <c r="AD110" i="18"/>
  <c r="AD105" i="18"/>
  <c r="AA168" i="18"/>
  <c r="AB43" i="18"/>
  <c r="AD46" i="18"/>
  <c r="AD81" i="18"/>
  <c r="AD101" i="18"/>
  <c r="AD108" i="18"/>
  <c r="AD113" i="18"/>
  <c r="AD114" i="18"/>
  <c r="AA114" i="18"/>
  <c r="AA118" i="18"/>
  <c r="AC116" i="18"/>
  <c r="AD121" i="18"/>
  <c r="AD123" i="18"/>
  <c r="AA124" i="18"/>
  <c r="AC126" i="18"/>
  <c r="AD126" i="18"/>
  <c r="AD127" i="18"/>
  <c r="AD129" i="18"/>
  <c r="AD135" i="18"/>
  <c r="AD144" i="18"/>
  <c r="AD161" i="18"/>
  <c r="AD163" i="18"/>
  <c r="AD165" i="18"/>
  <c r="AA189" i="18"/>
  <c r="AC182" i="18"/>
  <c r="AD183" i="18"/>
  <c r="R90" i="18"/>
  <c r="Q107" i="18"/>
  <c r="R107" i="18"/>
  <c r="Q126" i="18"/>
  <c r="Q130" i="18"/>
  <c r="R130" i="18"/>
  <c r="Q142" i="18"/>
  <c r="O143" i="18"/>
  <c r="R142" i="18"/>
  <c r="O149" i="18"/>
  <c r="Q163" i="18"/>
  <c r="R163" i="18"/>
  <c r="V173" i="18"/>
  <c r="Q182" i="18"/>
  <c r="Q194" i="18"/>
  <c r="R194" i="18"/>
  <c r="W112" i="18"/>
  <c r="R38" i="18"/>
  <c r="R43" i="18"/>
  <c r="R48" i="18"/>
  <c r="R60" i="18"/>
  <c r="R65" i="18"/>
  <c r="R74" i="18"/>
  <c r="R77" i="18"/>
  <c r="R87" i="18"/>
  <c r="Q104" i="18"/>
  <c r="R104" i="18"/>
  <c r="O114" i="18"/>
  <c r="Q123" i="18"/>
  <c r="Q128" i="18"/>
  <c r="Q145" i="18"/>
  <c r="R165" i="18"/>
  <c r="O180" i="18"/>
  <c r="Q184" i="18"/>
  <c r="Q192" i="18"/>
  <c r="R192" i="18"/>
  <c r="O200" i="18"/>
  <c r="R96" i="18"/>
  <c r="R98" i="18"/>
  <c r="R136" i="18"/>
  <c r="R151" i="18"/>
  <c r="O168" i="18"/>
  <c r="V46" i="18"/>
  <c r="J64" i="18"/>
  <c r="T64" i="18"/>
  <c r="K34" i="18"/>
  <c r="J42" i="18"/>
  <c r="K42" i="18"/>
  <c r="K48" i="18"/>
  <c r="J49" i="18"/>
  <c r="T49" i="18"/>
  <c r="K50" i="18"/>
  <c r="T51" i="18"/>
  <c r="J51" i="18"/>
  <c r="K56" i="18"/>
  <c r="K61" i="18"/>
  <c r="K64" i="18"/>
  <c r="K74" i="18"/>
  <c r="K75" i="18"/>
  <c r="T75" i="18"/>
  <c r="W75" i="18"/>
  <c r="K78" i="18"/>
  <c r="K86" i="18"/>
  <c r="K103" i="18"/>
  <c r="T84" i="18"/>
  <c r="T86" i="18"/>
  <c r="T95" i="18"/>
  <c r="T102" i="18"/>
  <c r="W102" i="18"/>
  <c r="W195" i="18"/>
  <c r="K46" i="18"/>
  <c r="K81" i="18"/>
  <c r="K101" i="18"/>
  <c r="K121" i="18"/>
  <c r="J126" i="18"/>
  <c r="K135" i="18"/>
  <c r="K145" i="18"/>
  <c r="K149" i="18"/>
  <c r="K151" i="18"/>
  <c r="K153" i="18"/>
  <c r="K157" i="18"/>
  <c r="K161" i="18"/>
  <c r="K170" i="18"/>
  <c r="K172" i="18"/>
  <c r="K174" i="18"/>
  <c r="T24" i="18"/>
  <c r="W24" i="18"/>
  <c r="T20" i="18"/>
  <c r="T19" i="18"/>
  <c r="W19" i="18"/>
  <c r="V74" i="18"/>
  <c r="AK85" i="18"/>
  <c r="AJ96" i="18"/>
  <c r="AK96" i="18"/>
  <c r="AJ107" i="18"/>
  <c r="AK107" i="18"/>
  <c r="T122" i="18"/>
  <c r="T123" i="18"/>
  <c r="AJ141" i="18"/>
  <c r="AK141" i="18"/>
  <c r="AJ158" i="18"/>
  <c r="T162" i="18"/>
  <c r="AK165" i="18"/>
  <c r="W35" i="18"/>
  <c r="AJ72" i="18"/>
  <c r="AK81" i="18"/>
  <c r="AJ93" i="18"/>
  <c r="AK93" i="18"/>
  <c r="AJ104" i="18"/>
  <c r="AK104" i="18"/>
  <c r="AJ129" i="18"/>
  <c r="AK129" i="18"/>
  <c r="AJ135" i="18"/>
  <c r="T142" i="18"/>
  <c r="W142" i="18"/>
  <c r="AJ145" i="18"/>
  <c r="AK145" i="18"/>
  <c r="AK155" i="18"/>
  <c r="AK162" i="18"/>
  <c r="AK173" i="18"/>
  <c r="T184" i="18"/>
  <c r="T83" i="18"/>
  <c r="W95" i="18"/>
  <c r="T103" i="18"/>
  <c r="W103" i="18"/>
  <c r="AK148" i="18"/>
  <c r="W202" i="18"/>
  <c r="W204" i="18"/>
  <c r="T40" i="18"/>
  <c r="W40" i="18"/>
  <c r="V43" i="18"/>
  <c r="AJ42" i="18"/>
  <c r="AK42" i="18"/>
  <c r="T48" i="18"/>
  <c r="T55" i="18"/>
  <c r="T56" i="18"/>
  <c r="W56" i="18"/>
  <c r="T60" i="18"/>
  <c r="AJ71" i="18"/>
  <c r="AK71" i="18"/>
  <c r="T78" i="18"/>
  <c r="W78" i="18"/>
  <c r="T41" i="18"/>
  <c r="T42" i="18"/>
  <c r="T43" i="18"/>
  <c r="T46" i="18"/>
  <c r="AK46" i="18"/>
  <c r="AH66" i="18"/>
  <c r="T68" i="18"/>
  <c r="W68" i="18"/>
  <c r="T71" i="18"/>
  <c r="T72" i="18"/>
  <c r="T74" i="18"/>
  <c r="W74" i="18"/>
  <c r="U79" i="18"/>
  <c r="T85" i="18"/>
  <c r="T87" i="18"/>
  <c r="T93" i="18"/>
  <c r="AK97" i="18"/>
  <c r="T104" i="18"/>
  <c r="AH118" i="18"/>
  <c r="T127" i="18"/>
  <c r="T136" i="18"/>
  <c r="W136" i="18"/>
  <c r="T139" i="18"/>
  <c r="W139" i="18"/>
  <c r="T141" i="18"/>
  <c r="W141" i="18"/>
  <c r="T146" i="18"/>
  <c r="AH153" i="18"/>
  <c r="T163" i="18"/>
  <c r="AJ163" i="18"/>
  <c r="T170" i="18"/>
  <c r="AK172" i="18"/>
  <c r="T182" i="18"/>
  <c r="AK185" i="18"/>
  <c r="T191" i="18"/>
  <c r="AI43" i="18"/>
  <c r="AK43" i="18"/>
  <c r="AK101" i="18"/>
  <c r="T113" i="18"/>
  <c r="U118" i="18"/>
  <c r="AK119" i="18"/>
  <c r="T121" i="18"/>
  <c r="W121" i="18"/>
  <c r="T126" i="18"/>
  <c r="T134" i="18"/>
  <c r="W134" i="18"/>
  <c r="T135" i="18"/>
  <c r="W135" i="18"/>
  <c r="T145" i="18"/>
  <c r="T147" i="18"/>
  <c r="T148" i="18"/>
  <c r="W148" i="18"/>
  <c r="T157" i="18"/>
  <c r="V165" i="18"/>
  <c r="T174" i="18"/>
  <c r="AK191" i="18"/>
  <c r="T194" i="18"/>
  <c r="U168" i="18"/>
  <c r="T172" i="18"/>
  <c r="T176" i="18"/>
  <c r="W176" i="18"/>
  <c r="T178" i="18"/>
  <c r="W178" i="18"/>
  <c r="T185" i="18"/>
  <c r="W185" i="18"/>
  <c r="AJ192" i="18"/>
  <c r="AK192" i="18"/>
  <c r="T198" i="18"/>
  <c r="W198" i="18"/>
  <c r="AK135" i="18"/>
  <c r="AD182" i="18"/>
  <c r="AD116" i="18"/>
  <c r="AB44" i="18"/>
  <c r="AB201" i="18"/>
  <c r="AB219" i="18"/>
  <c r="AD42" i="18"/>
  <c r="R182" i="18"/>
  <c r="K51" i="18"/>
  <c r="V49" i="18"/>
  <c r="W49" i="18"/>
  <c r="K49" i="18"/>
  <c r="AK170" i="18"/>
  <c r="V113" i="18"/>
  <c r="W113" i="18"/>
  <c r="AK109" i="18"/>
  <c r="AI53" i="18"/>
  <c r="AK53" i="18"/>
  <c r="AK163" i="18"/>
  <c r="AI44" i="18"/>
  <c r="H11" i="18"/>
  <c r="T11" i="18"/>
  <c r="H12" i="18"/>
  <c r="H10" i="18"/>
  <c r="K10" i="18"/>
  <c r="C49" i="19"/>
  <c r="C38" i="19"/>
  <c r="C27" i="19"/>
  <c r="C24" i="19"/>
  <c r="C20" i="19"/>
  <c r="C57" i="19"/>
  <c r="C13" i="19"/>
  <c r="O50" i="23"/>
  <c r="O49" i="23"/>
  <c r="O48" i="23"/>
  <c r="O37" i="23"/>
  <c r="O36" i="23"/>
  <c r="O35" i="23"/>
  <c r="O54" i="23"/>
  <c r="I25" i="23"/>
  <c r="P16" i="24"/>
  <c r="N16" i="24"/>
  <c r="R16" i="24"/>
  <c r="S16" i="24"/>
  <c r="I16" i="24"/>
  <c r="G16" i="24"/>
  <c r="K16" i="24"/>
  <c r="P15" i="24"/>
  <c r="N15" i="24"/>
  <c r="R15" i="24"/>
  <c r="I15" i="24"/>
  <c r="G15" i="24"/>
  <c r="K15" i="24"/>
  <c r="P14" i="24"/>
  <c r="N14" i="24"/>
  <c r="I14" i="24"/>
  <c r="G14" i="24"/>
  <c r="P13" i="24"/>
  <c r="N13" i="24"/>
  <c r="I13" i="24"/>
  <c r="C30" i="29"/>
  <c r="D30" i="29"/>
  <c r="D31" i="29"/>
  <c r="E21" i="29"/>
  <c r="E20" i="29"/>
  <c r="E31" i="29"/>
  <c r="P12" i="29"/>
  <c r="H13" i="29"/>
  <c r="J13" i="29"/>
  <c r="M13" i="29"/>
  <c r="N13" i="29"/>
  <c r="N31" i="29"/>
  <c r="H14" i="29"/>
  <c r="J14" i="29"/>
  <c r="M14" i="29"/>
  <c r="N14" i="29"/>
  <c r="P14" i="29"/>
  <c r="J15" i="29"/>
  <c r="M15" i="29"/>
  <c r="N15" i="29"/>
  <c r="P15" i="29"/>
  <c r="J16" i="29"/>
  <c r="M16" i="29"/>
  <c r="N16" i="29"/>
  <c r="P16" i="29"/>
  <c r="J17" i="29"/>
  <c r="M17" i="29"/>
  <c r="N17" i="29"/>
  <c r="P17" i="29"/>
  <c r="H18" i="29"/>
  <c r="J18" i="29"/>
  <c r="M18" i="29"/>
  <c r="N18" i="29"/>
  <c r="P18" i="29"/>
  <c r="J19" i="29"/>
  <c r="M19" i="29"/>
  <c r="N19" i="29"/>
  <c r="P19" i="29"/>
  <c r="G20" i="29"/>
  <c r="J20" i="29"/>
  <c r="M20" i="29"/>
  <c r="N20" i="29"/>
  <c r="G21" i="29"/>
  <c r="H21" i="29"/>
  <c r="J21" i="29"/>
  <c r="M21" i="29"/>
  <c r="N21" i="29"/>
  <c r="J22" i="29"/>
  <c r="M22" i="29"/>
  <c r="N22" i="29"/>
  <c r="P22" i="29"/>
  <c r="J23" i="29"/>
  <c r="M23" i="29"/>
  <c r="N23" i="29"/>
  <c r="P23" i="29"/>
  <c r="J24" i="29"/>
  <c r="M24" i="29"/>
  <c r="N24" i="29"/>
  <c r="P24" i="29"/>
  <c r="J25" i="29"/>
  <c r="M25" i="29"/>
  <c r="N25" i="29"/>
  <c r="P25" i="29"/>
  <c r="J26" i="29"/>
  <c r="M26" i="29"/>
  <c r="N26" i="29"/>
  <c r="P26" i="29"/>
  <c r="J27" i="29"/>
  <c r="M27" i="29"/>
  <c r="N27" i="29"/>
  <c r="P27" i="29"/>
  <c r="J28" i="29"/>
  <c r="M28" i="29"/>
  <c r="N28" i="29"/>
  <c r="P28" i="29"/>
  <c r="G30" i="29"/>
  <c r="H30" i="29"/>
  <c r="P30" i="29"/>
  <c r="E12" i="56"/>
  <c r="F12" i="56"/>
  <c r="G12" i="56"/>
  <c r="H12" i="56"/>
  <c r="I12" i="56"/>
  <c r="E18" i="56"/>
  <c r="F18" i="56"/>
  <c r="G18" i="56"/>
  <c r="H18" i="56"/>
  <c r="I18" i="56"/>
  <c r="E24" i="56"/>
  <c r="E22" i="56"/>
  <c r="F24" i="56"/>
  <c r="F22" i="56"/>
  <c r="G24" i="56"/>
  <c r="G22" i="56"/>
  <c r="H24" i="56"/>
  <c r="H22" i="56"/>
  <c r="I24" i="56"/>
  <c r="I22" i="56"/>
  <c r="E30" i="56"/>
  <c r="F30" i="56"/>
  <c r="G30" i="56"/>
  <c r="H30" i="56"/>
  <c r="I30" i="56"/>
  <c r="E35" i="56"/>
  <c r="F35" i="56"/>
  <c r="G35" i="56"/>
  <c r="H35" i="56"/>
  <c r="I35" i="56"/>
  <c r="C12" i="56"/>
  <c r="C24" i="56"/>
  <c r="C22" i="56"/>
  <c r="C30" i="56"/>
  <c r="C35" i="56"/>
  <c r="H154" i="26"/>
  <c r="H66" i="26"/>
  <c r="H56" i="26"/>
  <c r="H52" i="26"/>
  <c r="H51" i="26"/>
  <c r="H50" i="26"/>
  <c r="H47" i="26"/>
  <c r="H46" i="26"/>
  <c r="H45" i="26"/>
  <c r="H44" i="26"/>
  <c r="H41" i="26"/>
  <c r="H40" i="26"/>
  <c r="H39" i="26"/>
  <c r="H38" i="26"/>
  <c r="H35" i="26"/>
  <c r="H34" i="26"/>
  <c r="H33" i="26"/>
  <c r="H32" i="26"/>
  <c r="H29" i="26"/>
  <c r="H28" i="26"/>
  <c r="H26" i="26"/>
  <c r="H25" i="26"/>
  <c r="H22" i="26"/>
  <c r="H21" i="26"/>
  <c r="H20" i="26"/>
  <c r="H19" i="26"/>
  <c r="H16" i="26"/>
  <c r="H15" i="26"/>
  <c r="H14" i="26"/>
  <c r="H13" i="26"/>
  <c r="H10" i="26"/>
  <c r="E15" i="22"/>
  <c r="F15" i="22"/>
  <c r="E16" i="22"/>
  <c r="F16" i="22"/>
  <c r="E17" i="22"/>
  <c r="E18" i="22"/>
  <c r="F18" i="22"/>
  <c r="E19" i="22"/>
  <c r="F19" i="22"/>
  <c r="K17" i="54"/>
  <c r="J17" i="54"/>
  <c r="I17" i="54"/>
  <c r="H11" i="2"/>
  <c r="H12" i="2"/>
  <c r="H13" i="2"/>
  <c r="H17" i="2"/>
  <c r="H19" i="2"/>
  <c r="H20" i="2"/>
  <c r="H21" i="2"/>
  <c r="H22" i="2"/>
  <c r="H23" i="2"/>
  <c r="H25" i="2"/>
  <c r="H26" i="2"/>
  <c r="H27" i="2"/>
  <c r="H28" i="2"/>
  <c r="H30" i="2"/>
  <c r="H31" i="2"/>
  <c r="H32" i="2"/>
  <c r="H33" i="2"/>
  <c r="H34" i="2"/>
  <c r="H35" i="2"/>
  <c r="H36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2" i="2"/>
  <c r="H53" i="2"/>
  <c r="H54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3" i="2"/>
  <c r="H74" i="2"/>
  <c r="H75" i="2"/>
  <c r="H76" i="2"/>
  <c r="H77" i="2"/>
  <c r="H78" i="2"/>
  <c r="H79" i="2"/>
  <c r="H10" i="2"/>
  <c r="H17" i="54"/>
  <c r="G17" i="54"/>
  <c r="I78" i="2"/>
  <c r="I79" i="2"/>
  <c r="I19" i="54"/>
  <c r="H19" i="54"/>
  <c r="I11" i="2"/>
  <c r="I12" i="2"/>
  <c r="I13" i="2"/>
  <c r="I17" i="2"/>
  <c r="I19" i="2"/>
  <c r="I20" i="2"/>
  <c r="I21" i="2"/>
  <c r="I22" i="2"/>
  <c r="I23" i="2"/>
  <c r="I25" i="2"/>
  <c r="I26" i="2"/>
  <c r="I27" i="2"/>
  <c r="I28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2" i="2"/>
  <c r="I53" i="2"/>
  <c r="I54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3" i="2"/>
  <c r="I74" i="2"/>
  <c r="I75" i="2"/>
  <c r="I76" i="2"/>
  <c r="I77" i="2"/>
  <c r="F18" i="2"/>
  <c r="F16" i="2"/>
  <c r="G18" i="2"/>
  <c r="H18" i="2"/>
  <c r="K18" i="2"/>
  <c r="L18" i="2"/>
  <c r="E18" i="2"/>
  <c r="E16" i="2"/>
  <c r="I154" i="26"/>
  <c r="I57" i="26"/>
  <c r="I56" i="26"/>
  <c r="I53" i="26"/>
  <c r="I52" i="26"/>
  <c r="I51" i="26"/>
  <c r="I50" i="26"/>
  <c r="G47" i="26"/>
  <c r="I47" i="26"/>
  <c r="E47" i="26"/>
  <c r="I46" i="26"/>
  <c r="I45" i="26"/>
  <c r="I44" i="26"/>
  <c r="G41" i="26"/>
  <c r="E41" i="26"/>
  <c r="I41" i="26"/>
  <c r="I40" i="26"/>
  <c r="I39" i="26"/>
  <c r="I38" i="26"/>
  <c r="G35" i="26"/>
  <c r="E35" i="26"/>
  <c r="F17" i="22"/>
  <c r="F14" i="22"/>
  <c r="K19" i="54"/>
  <c r="F81" i="2"/>
  <c r="G81" i="2"/>
  <c r="H81" i="2"/>
  <c r="J81" i="2"/>
  <c r="I86" i="2"/>
  <c r="I85" i="2"/>
  <c r="I81" i="2"/>
  <c r="J19" i="54"/>
  <c r="G19" i="54"/>
  <c r="K81" i="2"/>
  <c r="I34" i="26"/>
  <c r="I33" i="26"/>
  <c r="I32" i="26"/>
  <c r="G29" i="26"/>
  <c r="E29" i="26"/>
  <c r="I29" i="26"/>
  <c r="I10" i="2"/>
  <c r="G22" i="26"/>
  <c r="I22" i="26"/>
  <c r="E22" i="26"/>
  <c r="E10" i="26"/>
  <c r="I14" i="5"/>
  <c r="G17" i="24"/>
  <c r="G18" i="24"/>
  <c r="G19" i="24"/>
  <c r="G20" i="24"/>
  <c r="G21" i="24"/>
  <c r="G22" i="24"/>
  <c r="G23" i="24"/>
  <c r="N17" i="24"/>
  <c r="N18" i="24"/>
  <c r="R18" i="24"/>
  <c r="N19" i="24"/>
  <c r="N20" i="24"/>
  <c r="R20" i="24"/>
  <c r="N21" i="24"/>
  <c r="N22" i="24"/>
  <c r="N23" i="24"/>
  <c r="J14" i="22"/>
  <c r="H15" i="5"/>
  <c r="I15" i="5"/>
  <c r="D13" i="5"/>
  <c r="G9" i="37"/>
  <c r="G10" i="37"/>
  <c r="G11" i="37"/>
  <c r="H11" i="37"/>
  <c r="T11" i="37"/>
  <c r="G12" i="37"/>
  <c r="G13" i="37"/>
  <c r="H13" i="37"/>
  <c r="G14" i="37"/>
  <c r="H14" i="37"/>
  <c r="T14" i="37"/>
  <c r="G15" i="37"/>
  <c r="G16" i="37"/>
  <c r="G17" i="37"/>
  <c r="G18" i="37"/>
  <c r="H18" i="37"/>
  <c r="T18" i="37"/>
  <c r="G19" i="37"/>
  <c r="G8" i="37"/>
  <c r="H8" i="37"/>
  <c r="O9" i="37"/>
  <c r="P9" i="37"/>
  <c r="Q9" i="37"/>
  <c r="R9" i="37"/>
  <c r="O10" i="37"/>
  <c r="P10" i="37"/>
  <c r="Q10" i="37"/>
  <c r="R10" i="37"/>
  <c r="O11" i="37"/>
  <c r="P11" i="37"/>
  <c r="Q11" i="37"/>
  <c r="R11" i="37"/>
  <c r="O12" i="37"/>
  <c r="P12" i="37"/>
  <c r="Q12" i="37"/>
  <c r="R12" i="37"/>
  <c r="O13" i="37"/>
  <c r="P13" i="37"/>
  <c r="Q13" i="37"/>
  <c r="R13" i="37"/>
  <c r="O14" i="37"/>
  <c r="P14" i="37"/>
  <c r="Q14" i="37"/>
  <c r="R14" i="37"/>
  <c r="O15" i="37"/>
  <c r="P15" i="37"/>
  <c r="Q15" i="37"/>
  <c r="R15" i="37"/>
  <c r="O16" i="37"/>
  <c r="P16" i="37"/>
  <c r="Q16" i="37"/>
  <c r="R16" i="37"/>
  <c r="O17" i="37"/>
  <c r="P17" i="37"/>
  <c r="Q17" i="37"/>
  <c r="R17" i="37"/>
  <c r="O18" i="37"/>
  <c r="P18" i="37"/>
  <c r="Q18" i="37"/>
  <c r="R18" i="37"/>
  <c r="O19" i="37"/>
  <c r="P19" i="37"/>
  <c r="Q19" i="37"/>
  <c r="R19" i="37"/>
  <c r="P8" i="37"/>
  <c r="P20" i="37"/>
  <c r="Q8" i="37"/>
  <c r="Q20" i="37"/>
  <c r="R8" i="37"/>
  <c r="R20" i="37"/>
  <c r="O8" i="37"/>
  <c r="O20" i="37"/>
  <c r="F20" i="37"/>
  <c r="S34" i="18"/>
  <c r="S37" i="18"/>
  <c r="S30" i="18"/>
  <c r="S32" i="18"/>
  <c r="S18" i="18"/>
  <c r="S25" i="18"/>
  <c r="S17" i="18"/>
  <c r="S11" i="18"/>
  <c r="S12" i="18"/>
  <c r="S14" i="18"/>
  <c r="S10" i="18"/>
  <c r="R10" i="18"/>
  <c r="Y9" i="37"/>
  <c r="Z9" i="37"/>
  <c r="AE9" i="37"/>
  <c r="AF9" i="37"/>
  <c r="Y10" i="37"/>
  <c r="Z10" i="37"/>
  <c r="AE10" i="37"/>
  <c r="AF10" i="37"/>
  <c r="Y11" i="37"/>
  <c r="Z11" i="37"/>
  <c r="AE11" i="37"/>
  <c r="AF11" i="37"/>
  <c r="Y12" i="37"/>
  <c r="Z12" i="37"/>
  <c r="AE12" i="37"/>
  <c r="AF12" i="37"/>
  <c r="Y13" i="37"/>
  <c r="Z13" i="37"/>
  <c r="AE13" i="37"/>
  <c r="AF13" i="37"/>
  <c r="Y14" i="37"/>
  <c r="Z14" i="37"/>
  <c r="AE14" i="37"/>
  <c r="AF14" i="37"/>
  <c r="Y15" i="37"/>
  <c r="Z15" i="37"/>
  <c r="AE15" i="37"/>
  <c r="AF15" i="37"/>
  <c r="Y16" i="37"/>
  <c r="Z16" i="37"/>
  <c r="AE16" i="37"/>
  <c r="AF16" i="37"/>
  <c r="Y17" i="37"/>
  <c r="Z17" i="37"/>
  <c r="AE17" i="37"/>
  <c r="AF17" i="37"/>
  <c r="Y18" i="37"/>
  <c r="Z18" i="37"/>
  <c r="AE18" i="37"/>
  <c r="AF18" i="37"/>
  <c r="Y19" i="37"/>
  <c r="Z19" i="37"/>
  <c r="AE19" i="37"/>
  <c r="AF19" i="37"/>
  <c r="M9" i="37"/>
  <c r="N9" i="37"/>
  <c r="M10" i="37"/>
  <c r="N10" i="37"/>
  <c r="M11" i="37"/>
  <c r="N11" i="37"/>
  <c r="M12" i="37"/>
  <c r="S12" i="37"/>
  <c r="M13" i="37"/>
  <c r="M14" i="37"/>
  <c r="N14" i="37"/>
  <c r="M15" i="37"/>
  <c r="N15" i="37"/>
  <c r="M16" i="37"/>
  <c r="M17" i="37"/>
  <c r="N17" i="37"/>
  <c r="M18" i="37"/>
  <c r="N18" i="37"/>
  <c r="M19" i="37"/>
  <c r="N19" i="37"/>
  <c r="AE8" i="37"/>
  <c r="AF8" i="37"/>
  <c r="Y8" i="37"/>
  <c r="U20" i="37"/>
  <c r="V20" i="37"/>
  <c r="W20" i="37"/>
  <c r="X20" i="37"/>
  <c r="AA20" i="37"/>
  <c r="AB20" i="37"/>
  <c r="AC20" i="37"/>
  <c r="AD20" i="37"/>
  <c r="L20" i="37"/>
  <c r="M8" i="37"/>
  <c r="N8" i="37"/>
  <c r="V34" i="18"/>
  <c r="U34" i="18"/>
  <c r="U37" i="18"/>
  <c r="T34" i="18"/>
  <c r="T37" i="18"/>
  <c r="U30" i="18"/>
  <c r="U32" i="18"/>
  <c r="V18" i="18"/>
  <c r="U18" i="18"/>
  <c r="V17" i="18"/>
  <c r="U17" i="18"/>
  <c r="U11" i="18"/>
  <c r="V11" i="18"/>
  <c r="U12" i="18"/>
  <c r="V12" i="18"/>
  <c r="V10" i="18"/>
  <c r="V14" i="18"/>
  <c r="U10" i="18"/>
  <c r="U14" i="18"/>
  <c r="AK11" i="18"/>
  <c r="AK18" i="18"/>
  <c r="AK30" i="18"/>
  <c r="AK32" i="18"/>
  <c r="AK34" i="18"/>
  <c r="AD11" i="18"/>
  <c r="AD17" i="18"/>
  <c r="AD25" i="18"/>
  <c r="AD18" i="18"/>
  <c r="AD30" i="18"/>
  <c r="R11" i="18"/>
  <c r="R12" i="18"/>
  <c r="R18" i="18"/>
  <c r="Q32" i="18"/>
  <c r="P32" i="18"/>
  <c r="P201" i="18"/>
  <c r="P219" i="18"/>
  <c r="G24" i="2"/>
  <c r="G29" i="2"/>
  <c r="G51" i="2"/>
  <c r="G55" i="2"/>
  <c r="I55" i="2"/>
  <c r="G72" i="2"/>
  <c r="I72" i="2"/>
  <c r="F24" i="2"/>
  <c r="F29" i="2"/>
  <c r="F37" i="2"/>
  <c r="H37" i="2"/>
  <c r="F51" i="2"/>
  <c r="H51" i="2"/>
  <c r="F55" i="2"/>
  <c r="F72" i="2"/>
  <c r="L51" i="2"/>
  <c r="L55" i="2"/>
  <c r="L16" i="2"/>
  <c r="K15" i="54"/>
  <c r="K12" i="54"/>
  <c r="K51" i="2"/>
  <c r="K16" i="2"/>
  <c r="K55" i="2"/>
  <c r="E24" i="2"/>
  <c r="E29" i="2"/>
  <c r="E37" i="2"/>
  <c r="I37" i="2"/>
  <c r="E51" i="2"/>
  <c r="I51" i="2"/>
  <c r="E55" i="2"/>
  <c r="E72" i="2"/>
  <c r="D20" i="37"/>
  <c r="E20" i="37"/>
  <c r="I20" i="37"/>
  <c r="J20" i="37"/>
  <c r="K20" i="37"/>
  <c r="C20" i="37"/>
  <c r="K17" i="18"/>
  <c r="X32" i="18"/>
  <c r="AE32" i="18"/>
  <c r="J20" i="22"/>
  <c r="J19" i="22"/>
  <c r="J18" i="22"/>
  <c r="J17" i="22"/>
  <c r="J16" i="22"/>
  <c r="J15" i="22"/>
  <c r="M15" i="22"/>
  <c r="M16" i="22"/>
  <c r="M17" i="22"/>
  <c r="M18" i="22"/>
  <c r="M19" i="22"/>
  <c r="M20" i="22"/>
  <c r="M14" i="22"/>
  <c r="I17" i="24"/>
  <c r="P17" i="24"/>
  <c r="R17" i="24"/>
  <c r="I18" i="24"/>
  <c r="K18" i="24"/>
  <c r="P18" i="24"/>
  <c r="S18" i="24"/>
  <c r="I19" i="24"/>
  <c r="K19" i="24"/>
  <c r="P19" i="24"/>
  <c r="R19" i="24"/>
  <c r="I20" i="24"/>
  <c r="K20" i="24"/>
  <c r="P20" i="24"/>
  <c r="S20" i="24"/>
  <c r="I21" i="24"/>
  <c r="K21" i="24"/>
  <c r="P21" i="24"/>
  <c r="R21" i="24"/>
  <c r="S21" i="24"/>
  <c r="I22" i="24"/>
  <c r="K22" i="24"/>
  <c r="P22" i="24"/>
  <c r="R22" i="24"/>
  <c r="S22" i="24"/>
  <c r="I23" i="24"/>
  <c r="K23" i="24"/>
  <c r="P23" i="24"/>
  <c r="G10" i="6"/>
  <c r="H10" i="6"/>
  <c r="G11" i="6"/>
  <c r="H11" i="6"/>
  <c r="G12" i="6"/>
  <c r="H12" i="6"/>
  <c r="G13" i="6"/>
  <c r="H13" i="6"/>
  <c r="H10" i="5"/>
  <c r="I10" i="5"/>
  <c r="H11" i="5"/>
  <c r="I11" i="5"/>
  <c r="H12" i="5"/>
  <c r="I12" i="5"/>
  <c r="E13" i="5"/>
  <c r="H16" i="5"/>
  <c r="I16" i="5"/>
  <c r="H17" i="5"/>
  <c r="I17" i="5"/>
  <c r="I13" i="5"/>
  <c r="I19" i="5"/>
  <c r="H18" i="5"/>
  <c r="I18" i="5"/>
  <c r="S11" i="37"/>
  <c r="G10" i="26"/>
  <c r="I10" i="26"/>
  <c r="N16" i="37"/>
  <c r="N12" i="37"/>
  <c r="G16" i="26"/>
  <c r="E16" i="26"/>
  <c r="I16" i="26"/>
  <c r="I20" i="26"/>
  <c r="I15" i="26"/>
  <c r="I19" i="26"/>
  <c r="I21" i="26"/>
  <c r="I14" i="26"/>
  <c r="I13" i="26"/>
  <c r="L81" i="2"/>
  <c r="E81" i="2"/>
  <c r="M20" i="37"/>
  <c r="K11" i="18"/>
  <c r="S15" i="24"/>
  <c r="S13" i="37"/>
  <c r="N13" i="37"/>
  <c r="AJ61" i="18"/>
  <c r="AK63" i="18"/>
  <c r="K85" i="18"/>
  <c r="K218" i="18"/>
  <c r="K185" i="18"/>
  <c r="K166" i="18"/>
  <c r="K162" i="18"/>
  <c r="V162" i="18"/>
  <c r="K159" i="18"/>
  <c r="AK103" i="18"/>
  <c r="AK116" i="18"/>
  <c r="AK118" i="18"/>
  <c r="AJ118" i="18"/>
  <c r="AJ189" i="18"/>
  <c r="K41" i="18"/>
  <c r="R71" i="18"/>
  <c r="AK128" i="18"/>
  <c r="AK194" i="18"/>
  <c r="K141" i="18"/>
  <c r="J63" i="18"/>
  <c r="J65" i="18"/>
  <c r="V65" i="18"/>
  <c r="J97" i="18"/>
  <c r="V97" i="18"/>
  <c r="J134" i="18"/>
  <c r="J137" i="18"/>
  <c r="V164" i="18"/>
  <c r="J175" i="18"/>
  <c r="J183" i="18"/>
  <c r="Q40" i="18"/>
  <c r="Q55" i="18"/>
  <c r="Q61" i="18"/>
  <c r="Q70" i="18"/>
  <c r="Q79" i="18"/>
  <c r="Q103" i="18"/>
  <c r="Q141" i="18"/>
  <c r="Q143" i="18"/>
  <c r="Q172" i="18"/>
  <c r="V172" i="18"/>
  <c r="Q174" i="18"/>
  <c r="R174" i="18"/>
  <c r="AC40" i="18"/>
  <c r="AC44" i="18"/>
  <c r="AC63" i="18"/>
  <c r="AD63" i="18"/>
  <c r="AC83" i="18"/>
  <c r="AC107" i="18"/>
  <c r="AD107" i="18"/>
  <c r="AC134" i="18"/>
  <c r="AA137" i="18"/>
  <c r="AD156" i="18"/>
  <c r="AD164" i="18"/>
  <c r="AC172" i="18"/>
  <c r="AD172" i="18"/>
  <c r="AC192" i="18"/>
  <c r="U25" i="18"/>
  <c r="AK122" i="18"/>
  <c r="R184" i="18"/>
  <c r="AD155" i="18"/>
  <c r="AJ174" i="18"/>
  <c r="J40" i="18"/>
  <c r="V40" i="18"/>
  <c r="K113" i="18"/>
  <c r="R113" i="18"/>
  <c r="K59" i="18"/>
  <c r="K104" i="18"/>
  <c r="J104" i="18"/>
  <c r="K112" i="18"/>
  <c r="H114" i="18"/>
  <c r="T114" i="18"/>
  <c r="J136" i="18"/>
  <c r="V136" i="18"/>
  <c r="T143" i="18"/>
  <c r="K139" i="18"/>
  <c r="J142" i="18"/>
  <c r="V171" i="18"/>
  <c r="Q72" i="18"/>
  <c r="R72" i="18"/>
  <c r="R78" i="18"/>
  <c r="V78" i="18"/>
  <c r="Q94" i="18"/>
  <c r="R94" i="18"/>
  <c r="R99" i="18"/>
  <c r="Q129" i="18"/>
  <c r="R148" i="18"/>
  <c r="V148" i="18"/>
  <c r="Q158" i="18"/>
  <c r="R158" i="18"/>
  <c r="AC72" i="18"/>
  <c r="AD72" i="18"/>
  <c r="AC77" i="18"/>
  <c r="AD77" i="18"/>
  <c r="AD79" i="18"/>
  <c r="AC87" i="18"/>
  <c r="AD87" i="18"/>
  <c r="AC97" i="18"/>
  <c r="AD97" i="18"/>
  <c r="AD122" i="18"/>
  <c r="AC128" i="18"/>
  <c r="AD128" i="18"/>
  <c r="AD160" i="18"/>
  <c r="AC194" i="18"/>
  <c r="AD194" i="18"/>
  <c r="AD60" i="18"/>
  <c r="AC70" i="18"/>
  <c r="AD70" i="18"/>
  <c r="AC120" i="18"/>
  <c r="AD151" i="18"/>
  <c r="R31" i="18"/>
  <c r="V54" i="18"/>
  <c r="T21" i="18"/>
  <c r="AD22" i="18"/>
  <c r="R22" i="18"/>
  <c r="T10" i="18"/>
  <c r="T13" i="18"/>
  <c r="W13" i="18"/>
  <c r="K155" i="18"/>
  <c r="AD134" i="18"/>
  <c r="AD137" i="18"/>
  <c r="V170" i="18"/>
  <c r="AK174" i="18"/>
  <c r="AD139" i="18"/>
  <c r="V104" i="18"/>
  <c r="K136" i="18"/>
  <c r="AD83" i="18"/>
  <c r="AD40" i="18"/>
  <c r="R172" i="18"/>
  <c r="R170" i="18"/>
  <c r="R141" i="18"/>
  <c r="R105" i="18"/>
  <c r="R83" i="18"/>
  <c r="K97" i="18"/>
  <c r="K92" i="18"/>
  <c r="K65" i="18"/>
  <c r="V141" i="18"/>
  <c r="R30" i="18"/>
  <c r="R32" i="18"/>
  <c r="R193" i="18"/>
  <c r="V193" i="18"/>
  <c r="W193" i="18"/>
  <c r="V185" i="18"/>
  <c r="R185" i="18"/>
  <c r="R173" i="18"/>
  <c r="R166" i="18"/>
  <c r="R160" i="18"/>
  <c r="V160" i="18"/>
  <c r="R159" i="18"/>
  <c r="V159" i="18"/>
  <c r="W159" i="18"/>
  <c r="R156" i="18"/>
  <c r="V156" i="18"/>
  <c r="R155" i="18"/>
  <c r="V155" i="18"/>
  <c r="R92" i="18"/>
  <c r="V92" i="18"/>
  <c r="R85" i="18"/>
  <c r="V85" i="18"/>
  <c r="W85" i="18"/>
  <c r="K73" i="18"/>
  <c r="R41" i="18"/>
  <c r="V41" i="18"/>
  <c r="R161" i="18"/>
  <c r="V161" i="18"/>
  <c r="W161" i="18"/>
  <c r="J30" i="18"/>
  <c r="V30" i="18"/>
  <c r="AK171" i="18"/>
  <c r="AK156" i="18"/>
  <c r="AK139" i="18"/>
  <c r="AK123" i="18"/>
  <c r="AD109" i="18"/>
  <c r="AJ110" i="18"/>
  <c r="AK108" i="18"/>
  <c r="K108" i="18"/>
  <c r="AK60" i="18"/>
  <c r="AD185" i="18"/>
  <c r="AD147" i="18"/>
  <c r="AD117" i="18"/>
  <c r="AD118" i="18"/>
  <c r="AC118" i="18"/>
  <c r="AD92" i="18"/>
  <c r="AD85" i="18"/>
  <c r="AD73" i="18"/>
  <c r="J32" i="18"/>
  <c r="V108" i="18"/>
  <c r="V32" i="18"/>
  <c r="H72" i="2"/>
  <c r="I123" i="26"/>
  <c r="I66" i="26"/>
  <c r="I35" i="26"/>
  <c r="V131" i="18"/>
  <c r="W131" i="18"/>
  <c r="R131" i="18"/>
  <c r="K142" i="18"/>
  <c r="V142" i="18"/>
  <c r="J143" i="18"/>
  <c r="V143" i="18"/>
  <c r="AD192" i="18"/>
  <c r="AC200" i="18"/>
  <c r="V174" i="18"/>
  <c r="W174" i="18"/>
  <c r="V103" i="18"/>
  <c r="R103" i="18"/>
  <c r="K134" i="18"/>
  <c r="K137" i="18"/>
  <c r="H29" i="2"/>
  <c r="I29" i="2"/>
  <c r="W34" i="18"/>
  <c r="S8" i="37"/>
  <c r="H15" i="37"/>
  <c r="T15" i="37"/>
  <c r="S15" i="37"/>
  <c r="H9" i="37"/>
  <c r="T9" i="37"/>
  <c r="S9" i="37"/>
  <c r="K14" i="24"/>
  <c r="G24" i="24"/>
  <c r="W11" i="18"/>
  <c r="W170" i="18"/>
  <c r="R153" i="18"/>
  <c r="R145" i="18"/>
  <c r="V145" i="18"/>
  <c r="W145" i="18"/>
  <c r="J36" i="18"/>
  <c r="V36" i="18"/>
  <c r="V37" i="18"/>
  <c r="H44" i="18"/>
  <c r="K43" i="18"/>
  <c r="J76" i="18"/>
  <c r="T76" i="18"/>
  <c r="K80" i="18"/>
  <c r="T80" i="18"/>
  <c r="W80" i="18"/>
  <c r="K82" i="18"/>
  <c r="K90" i="18"/>
  <c r="T90" i="18"/>
  <c r="W90" i="18"/>
  <c r="H99" i="18"/>
  <c r="T99" i="18"/>
  <c r="J96" i="18"/>
  <c r="V96" i="18"/>
  <c r="W96" i="18"/>
  <c r="J105" i="18"/>
  <c r="T105" i="18"/>
  <c r="K105" i="18"/>
  <c r="J107" i="18"/>
  <c r="V107" i="18"/>
  <c r="W107" i="18"/>
  <c r="T107" i="18"/>
  <c r="J116" i="18"/>
  <c r="J118" i="18"/>
  <c r="V118" i="18"/>
  <c r="T116" i="18"/>
  <c r="H132" i="18"/>
  <c r="K126" i="18"/>
  <c r="J129" i="18"/>
  <c r="V129" i="18"/>
  <c r="T129" i="18"/>
  <c r="W129" i="18"/>
  <c r="K129" i="18"/>
  <c r="S132" i="18"/>
  <c r="K140" i="18"/>
  <c r="K143" i="18"/>
  <c r="T140" i="18"/>
  <c r="W140" i="18"/>
  <c r="J158" i="18"/>
  <c r="V158" i="18"/>
  <c r="W158" i="18"/>
  <c r="K158" i="18"/>
  <c r="T158" i="18"/>
  <c r="T160" i="18"/>
  <c r="W160" i="18"/>
  <c r="K160" i="18"/>
  <c r="K163" i="18"/>
  <c r="V163" i="18"/>
  <c r="W163" i="18"/>
  <c r="K165" i="18"/>
  <c r="T165" i="18"/>
  <c r="W165" i="18"/>
  <c r="K167" i="18"/>
  <c r="T167" i="18"/>
  <c r="W167" i="18"/>
  <c r="T169" i="18"/>
  <c r="W169" i="18"/>
  <c r="T171" i="18"/>
  <c r="W171" i="18"/>
  <c r="K171" i="18"/>
  <c r="K181" i="18"/>
  <c r="T181" i="18"/>
  <c r="W181" i="18"/>
  <c r="J189" i="18"/>
  <c r="K182" i="18"/>
  <c r="V182" i="18"/>
  <c r="W182" i="18"/>
  <c r="K184" i="18"/>
  <c r="V184" i="18"/>
  <c r="W184" i="18"/>
  <c r="K196" i="18"/>
  <c r="T199" i="18"/>
  <c r="W199" i="18"/>
  <c r="K203" i="18"/>
  <c r="T203" i="18"/>
  <c r="W203" i="18"/>
  <c r="R34" i="18"/>
  <c r="O44" i="18"/>
  <c r="H200" i="18"/>
  <c r="K193" i="18"/>
  <c r="W10" i="18"/>
  <c r="Q110" i="18"/>
  <c r="AC124" i="18"/>
  <c r="AD120" i="18"/>
  <c r="AD124" i="18"/>
  <c r="R129" i="18"/>
  <c r="Q99" i="18"/>
  <c r="K114" i="18"/>
  <c r="R70" i="18"/>
  <c r="V61" i="18"/>
  <c r="W61" i="18"/>
  <c r="R61" i="18"/>
  <c r="AK61" i="18"/>
  <c r="H55" i="2"/>
  <c r="AE20" i="37"/>
  <c r="S19" i="24"/>
  <c r="R14" i="18"/>
  <c r="H19" i="37"/>
  <c r="T19" i="37"/>
  <c r="S16" i="37"/>
  <c r="H16" i="37"/>
  <c r="T16" i="37"/>
  <c r="H12" i="37"/>
  <c r="T12" i="37"/>
  <c r="H10" i="37"/>
  <c r="T10" i="37"/>
  <c r="S10" i="37"/>
  <c r="H20" i="29"/>
  <c r="P20" i="29"/>
  <c r="N24" i="24"/>
  <c r="V123" i="18"/>
  <c r="T96" i="18"/>
  <c r="T109" i="18"/>
  <c r="W109" i="18"/>
  <c r="W123" i="18"/>
  <c r="AB53" i="18"/>
  <c r="AD53" i="18"/>
  <c r="AD43" i="18"/>
  <c r="AD19" i="18"/>
  <c r="AA25" i="18"/>
  <c r="AK20" i="18"/>
  <c r="AK25" i="18"/>
  <c r="AH44" i="18"/>
  <c r="AJ37" i="18"/>
  <c r="AK37" i="18"/>
  <c r="AJ40" i="18"/>
  <c r="AJ47" i="18"/>
  <c r="AJ55" i="18"/>
  <c r="AK55" i="18"/>
  <c r="W65" i="18"/>
  <c r="AJ77" i="18"/>
  <c r="AJ82" i="18"/>
  <c r="AJ88" i="18"/>
  <c r="AH88" i="18"/>
  <c r="AH99" i="18"/>
  <c r="AK92" i="18"/>
  <c r="W97" i="18"/>
  <c r="AK98" i="18"/>
  <c r="AJ99" i="18"/>
  <c r="AK102" i="18"/>
  <c r="AK110" i="18"/>
  <c r="AH110" i="18"/>
  <c r="AJ142" i="18"/>
  <c r="AK142" i="18"/>
  <c r="AH143" i="18"/>
  <c r="AK144" i="18"/>
  <c r="AH149" i="18"/>
  <c r="AK146" i="18"/>
  <c r="AJ149" i="18"/>
  <c r="W147" i="18"/>
  <c r="W46" i="18"/>
  <c r="AJ84" i="18"/>
  <c r="AK84" i="18"/>
  <c r="AJ120" i="18"/>
  <c r="AH124" i="18"/>
  <c r="AJ126" i="18"/>
  <c r="AH132" i="18"/>
  <c r="AJ161" i="18"/>
  <c r="AJ168" i="18"/>
  <c r="AK161" i="18"/>
  <c r="AK183" i="18"/>
  <c r="AK189" i="18"/>
  <c r="AH189" i="18"/>
  <c r="J53" i="18"/>
  <c r="V53" i="18"/>
  <c r="T53" i="18"/>
  <c r="J60" i="18"/>
  <c r="K60" i="18"/>
  <c r="J70" i="18"/>
  <c r="H79" i="18"/>
  <c r="T79" i="18"/>
  <c r="K70" i="18"/>
  <c r="J120" i="18"/>
  <c r="H124" i="18"/>
  <c r="T120" i="18"/>
  <c r="W120" i="18"/>
  <c r="T151" i="18"/>
  <c r="W151" i="18"/>
  <c r="H153" i="18"/>
  <c r="J180" i="18"/>
  <c r="Q42" i="18"/>
  <c r="V42" i="18"/>
  <c r="W42" i="18"/>
  <c r="Q76" i="18"/>
  <c r="V76" i="18"/>
  <c r="W76" i="18"/>
  <c r="O79" i="18"/>
  <c r="Q82" i="18"/>
  <c r="V82" i="18"/>
  <c r="W82" i="18"/>
  <c r="R82" i="18"/>
  <c r="O88" i="18"/>
  <c r="T82" i="18"/>
  <c r="R109" i="18"/>
  <c r="O110" i="18"/>
  <c r="T110" i="18"/>
  <c r="O118" i="18"/>
  <c r="Q116" i="18"/>
  <c r="R120" i="18"/>
  <c r="Q121" i="18"/>
  <c r="Q124" i="18"/>
  <c r="O124" i="18"/>
  <c r="Q146" i="18"/>
  <c r="V146" i="18"/>
  <c r="W146" i="18"/>
  <c r="R152" i="18"/>
  <c r="O153" i="18"/>
  <c r="T153" i="18"/>
  <c r="W153" i="18"/>
  <c r="T152" i="18"/>
  <c r="W152" i="18"/>
  <c r="R187" i="18"/>
  <c r="T187" i="18"/>
  <c r="W187" i="18"/>
  <c r="AC61" i="18"/>
  <c r="AA66" i="18"/>
  <c r="AC76" i="18"/>
  <c r="AC79" i="18"/>
  <c r="AC88" i="18"/>
  <c r="AD82" i="18"/>
  <c r="AD88" i="18"/>
  <c r="AC93" i="18"/>
  <c r="AD93" i="18"/>
  <c r="AD99" i="18"/>
  <c r="AA99" i="18"/>
  <c r="AC184" i="18"/>
  <c r="AC189" i="18"/>
  <c r="AK38" i="18"/>
  <c r="AJ48" i="18"/>
  <c r="AK48" i="18"/>
  <c r="AJ51" i="18"/>
  <c r="AK51" i="18"/>
  <c r="J57" i="18"/>
  <c r="V50" i="18"/>
  <c r="W50" i="18"/>
  <c r="K91" i="18"/>
  <c r="T91" i="18"/>
  <c r="W91" i="18"/>
  <c r="K100" i="18"/>
  <c r="T100" i="18"/>
  <c r="W100" i="18"/>
  <c r="K106" i="18"/>
  <c r="T106" i="18"/>
  <c r="W106" i="18"/>
  <c r="K119" i="18"/>
  <c r="T119" i="18"/>
  <c r="W119" i="18"/>
  <c r="J130" i="18"/>
  <c r="V130" i="18"/>
  <c r="W130" i="18"/>
  <c r="J168" i="18"/>
  <c r="K197" i="18"/>
  <c r="T197" i="18"/>
  <c r="W197" i="18"/>
  <c r="H66" i="18"/>
  <c r="H137" i="26"/>
  <c r="H149" i="18"/>
  <c r="T149" i="18"/>
  <c r="Q47" i="18"/>
  <c r="Q86" i="18"/>
  <c r="V86" i="18"/>
  <c r="W86" i="18"/>
  <c r="R114" i="18"/>
  <c r="Q134" i="18"/>
  <c r="Q137" i="18"/>
  <c r="O137" i="18"/>
  <c r="T137" i="18"/>
  <c r="AC94" i="18"/>
  <c r="AD94" i="18"/>
  <c r="AD31" i="18"/>
  <c r="AD32" i="18"/>
  <c r="AA32" i="18"/>
  <c r="AD37" i="18"/>
  <c r="AC104" i="18"/>
  <c r="AC110" i="18"/>
  <c r="AA153" i="18"/>
  <c r="T23" i="18"/>
  <c r="AJ64" i="18"/>
  <c r="AK64" i="18"/>
  <c r="AK66" i="18"/>
  <c r="I137" i="26"/>
  <c r="V47" i="18"/>
  <c r="AD61" i="18"/>
  <c r="AD66" i="18"/>
  <c r="AC66" i="18"/>
  <c r="Q118" i="18"/>
  <c r="R116" i="18"/>
  <c r="R118" i="18"/>
  <c r="T124" i="18"/>
  <c r="J124" i="18"/>
  <c r="V124" i="18"/>
  <c r="V120" i="18"/>
  <c r="AK149" i="18"/>
  <c r="H31" i="29"/>
  <c r="V116" i="18"/>
  <c r="AD104" i="18"/>
  <c r="AD44" i="18"/>
  <c r="R134" i="18"/>
  <c r="R137" i="18"/>
  <c r="V134" i="18"/>
  <c r="R47" i="18"/>
  <c r="AD76" i="18"/>
  <c r="R146" i="18"/>
  <c r="R149" i="18"/>
  <c r="V121" i="18"/>
  <c r="R121" i="18"/>
  <c r="R76" i="18"/>
  <c r="K120" i="18"/>
  <c r="AK126" i="18"/>
  <c r="AK99" i="18"/>
  <c r="AK82" i="18"/>
  <c r="AK47" i="18"/>
  <c r="AB57" i="18"/>
  <c r="Q44" i="18"/>
  <c r="V105" i="18"/>
  <c r="W105" i="18"/>
  <c r="K96" i="18"/>
  <c r="K76" i="18"/>
  <c r="T44" i="18"/>
  <c r="I18" i="2"/>
  <c r="AD173" i="18"/>
  <c r="AD166" i="18"/>
  <c r="R79" i="18"/>
  <c r="AH32" i="18"/>
  <c r="G14" i="6"/>
  <c r="H14" i="6"/>
  <c r="AK168" i="18"/>
  <c r="J15" i="54"/>
  <c r="J12" i="54"/>
  <c r="K14" i="2"/>
  <c r="T8" i="37"/>
  <c r="T20" i="37"/>
  <c r="G15" i="54"/>
  <c r="G12" i="54"/>
  <c r="E14" i="2"/>
  <c r="K66" i="18"/>
  <c r="V189" i="18"/>
  <c r="V137" i="18"/>
  <c r="W137" i="18"/>
  <c r="H15" i="54"/>
  <c r="H12" i="54"/>
  <c r="F14" i="2"/>
  <c r="AK88" i="18"/>
  <c r="AK49" i="18"/>
  <c r="AK57" i="18"/>
  <c r="AJ57" i="18"/>
  <c r="W36" i="18"/>
  <c r="W37" i="18"/>
  <c r="R124" i="18"/>
  <c r="AJ66" i="18"/>
  <c r="W143" i="18"/>
  <c r="V183" i="18"/>
  <c r="K175" i="18"/>
  <c r="K180" i="18"/>
  <c r="H24" i="2"/>
  <c r="I24" i="2"/>
  <c r="Z8" i="37"/>
  <c r="Z20" i="37"/>
  <c r="Y20" i="37"/>
  <c r="P21" i="29"/>
  <c r="I24" i="24"/>
  <c r="P24" i="24"/>
  <c r="R13" i="24"/>
  <c r="W162" i="18"/>
  <c r="W84" i="18"/>
  <c r="H32" i="18"/>
  <c r="T30" i="18"/>
  <c r="K30" i="18"/>
  <c r="K32" i="18"/>
  <c r="AA14" i="18"/>
  <c r="AD10" i="18"/>
  <c r="AD14" i="18"/>
  <c r="AH14" i="18"/>
  <c r="AK10" i="18"/>
  <c r="AK14" i="18"/>
  <c r="O25" i="18"/>
  <c r="R17" i="18"/>
  <c r="R25" i="18"/>
  <c r="T22" i="18"/>
  <c r="W22" i="18"/>
  <c r="AJ36" i="18"/>
  <c r="AJ44" i="18"/>
  <c r="W41" i="18"/>
  <c r="AJ121" i="18"/>
  <c r="AJ124" i="18"/>
  <c r="AH137" i="18"/>
  <c r="AJ134" i="18"/>
  <c r="AJ137" i="18"/>
  <c r="AK134" i="18"/>
  <c r="AK137" i="18"/>
  <c r="K69" i="18"/>
  <c r="T69" i="18"/>
  <c r="W69" i="18"/>
  <c r="K72" i="18"/>
  <c r="V72" i="18"/>
  <c r="W72" i="18"/>
  <c r="J77" i="18"/>
  <c r="V77" i="18"/>
  <c r="T77" i="18"/>
  <c r="K83" i="18"/>
  <c r="K88" i="18"/>
  <c r="J83" i="18"/>
  <c r="K111" i="18"/>
  <c r="T111" i="18"/>
  <c r="W111" i="18"/>
  <c r="K115" i="18"/>
  <c r="T115" i="18"/>
  <c r="W115" i="18"/>
  <c r="K117" i="18"/>
  <c r="T117" i="18"/>
  <c r="W117" i="18"/>
  <c r="K128" i="18"/>
  <c r="T128" i="18"/>
  <c r="K144" i="18"/>
  <c r="T144" i="18"/>
  <c r="W144" i="18"/>
  <c r="K150" i="18"/>
  <c r="T150" i="18"/>
  <c r="W150" i="18"/>
  <c r="T156" i="18"/>
  <c r="W156" i="18"/>
  <c r="K156" i="18"/>
  <c r="T183" i="18"/>
  <c r="W183" i="18"/>
  <c r="K183" i="18"/>
  <c r="H189" i="18"/>
  <c r="K186" i="18"/>
  <c r="T186" i="18"/>
  <c r="W186" i="18"/>
  <c r="K188" i="18"/>
  <c r="T188" i="18"/>
  <c r="W188" i="18"/>
  <c r="K190" i="18"/>
  <c r="T190" i="18"/>
  <c r="W190" i="18"/>
  <c r="J192" i="18"/>
  <c r="T192" i="18"/>
  <c r="K194" i="18"/>
  <c r="V194" i="18"/>
  <c r="W194" i="18"/>
  <c r="R40" i="18"/>
  <c r="L201" i="18"/>
  <c r="L219" i="18"/>
  <c r="S44" i="18"/>
  <c r="AC130" i="18"/>
  <c r="AC132" i="18"/>
  <c r="AA132" i="18"/>
  <c r="AC157" i="18"/>
  <c r="AC175" i="18"/>
  <c r="AC180" i="18"/>
  <c r="AD191" i="18"/>
  <c r="AD200" i="18"/>
  <c r="AA200" i="18"/>
  <c r="H168" i="18"/>
  <c r="T168" i="18"/>
  <c r="G16" i="2"/>
  <c r="Q149" i="18"/>
  <c r="V149" i="18"/>
  <c r="W149" i="18"/>
  <c r="K36" i="18"/>
  <c r="J110" i="18"/>
  <c r="V110" i="18"/>
  <c r="W110" i="18"/>
  <c r="K116" i="18"/>
  <c r="J99" i="18"/>
  <c r="V99" i="18"/>
  <c r="W99" i="18"/>
  <c r="V60" i="18"/>
  <c r="W60" i="18"/>
  <c r="J66" i="18"/>
  <c r="V70" i="18"/>
  <c r="W70" i="18"/>
  <c r="J79" i="18"/>
  <c r="V79" i="18"/>
  <c r="W79" i="18"/>
  <c r="Q88" i="18"/>
  <c r="AD184" i="18"/>
  <c r="AD189" i="18"/>
  <c r="AK77" i="18"/>
  <c r="AC99" i="18"/>
  <c r="R86" i="18"/>
  <c r="R88" i="18"/>
  <c r="I44" i="18"/>
  <c r="K130" i="18"/>
  <c r="K124" i="18"/>
  <c r="R42" i="18"/>
  <c r="AK120" i="18"/>
  <c r="AJ79" i="18"/>
  <c r="AH25" i="18"/>
  <c r="T173" i="18"/>
  <c r="W173" i="18"/>
  <c r="S19" i="37"/>
  <c r="G20" i="37"/>
  <c r="S18" i="37"/>
  <c r="R36" i="18"/>
  <c r="R44" i="18"/>
  <c r="E201" i="18"/>
  <c r="H118" i="18"/>
  <c r="T118" i="18"/>
  <c r="W118" i="18"/>
  <c r="K107" i="18"/>
  <c r="K110" i="18"/>
  <c r="I53" i="18"/>
  <c r="AC143" i="18"/>
  <c r="AD142" i="18"/>
  <c r="AD143" i="18"/>
  <c r="L14" i="2"/>
  <c r="K164" i="18"/>
  <c r="AC146" i="18"/>
  <c r="AC149" i="18"/>
  <c r="W114" i="18"/>
  <c r="H14" i="18"/>
  <c r="R55" i="18"/>
  <c r="V55" i="18"/>
  <c r="W55" i="18"/>
  <c r="V63" i="18"/>
  <c r="K63" i="18"/>
  <c r="V71" i="18"/>
  <c r="K37" i="18"/>
  <c r="H13" i="5"/>
  <c r="H19" i="5"/>
  <c r="S14" i="37"/>
  <c r="S20" i="37"/>
  <c r="T17" i="18"/>
  <c r="N20" i="37"/>
  <c r="AF20" i="37"/>
  <c r="H17" i="37"/>
  <c r="T17" i="37"/>
  <c r="S17" i="37"/>
  <c r="T13" i="37"/>
  <c r="R23" i="24"/>
  <c r="S23" i="24"/>
  <c r="K17" i="24"/>
  <c r="K24" i="24"/>
  <c r="P13" i="29"/>
  <c r="P31" i="29"/>
  <c r="P39" i="29"/>
  <c r="P40" i="29"/>
  <c r="R14" i="24"/>
  <c r="S14" i="24"/>
  <c r="T12" i="18"/>
  <c r="W12" i="18"/>
  <c r="W14" i="18"/>
  <c r="K12" i="18"/>
  <c r="K14" i="18"/>
  <c r="W172" i="18"/>
  <c r="W104" i="18"/>
  <c r="W71" i="18"/>
  <c r="W48" i="18"/>
  <c r="W122" i="18"/>
  <c r="W20" i="18"/>
  <c r="V128" i="18"/>
  <c r="R128" i="18"/>
  <c r="R126" i="18"/>
  <c r="V126" i="18"/>
  <c r="W126" i="18"/>
  <c r="O57" i="18"/>
  <c r="AA180" i="18"/>
  <c r="AD145" i="18"/>
  <c r="H25" i="18"/>
  <c r="T18" i="18"/>
  <c r="W18" i="18"/>
  <c r="K18" i="18"/>
  <c r="K25" i="18"/>
  <c r="W39" i="18"/>
  <c r="AI57" i="18"/>
  <c r="AI201" i="18"/>
  <c r="AI219" i="18"/>
  <c r="AK72" i="18"/>
  <c r="AK79" i="18"/>
  <c r="AJ113" i="18"/>
  <c r="AJ114" i="18"/>
  <c r="AK113" i="18"/>
  <c r="AK114" i="18"/>
  <c r="AH114" i="18"/>
  <c r="AH201" i="18"/>
  <c r="AJ130" i="18"/>
  <c r="AJ132" i="18"/>
  <c r="AJ140" i="18"/>
  <c r="AJ143" i="18"/>
  <c r="AH168" i="18"/>
  <c r="AK158" i="18"/>
  <c r="AJ175" i="18"/>
  <c r="AK175" i="18"/>
  <c r="AK180" i="18"/>
  <c r="AJ193" i="18"/>
  <c r="AJ200" i="18"/>
  <c r="I57" i="18"/>
  <c r="U57" i="18"/>
  <c r="U51" i="18"/>
  <c r="K52" i="18"/>
  <c r="T52" i="18"/>
  <c r="W52" i="18"/>
  <c r="T54" i="18"/>
  <c r="W54" i="18"/>
  <c r="K54" i="18"/>
  <c r="K58" i="18"/>
  <c r="T58" i="18"/>
  <c r="W58" i="18"/>
  <c r="V84" i="18"/>
  <c r="K84" i="18"/>
  <c r="H88" i="18"/>
  <c r="T88" i="18"/>
  <c r="V87" i="18"/>
  <c r="W87" i="18"/>
  <c r="K87" i="18"/>
  <c r="V93" i="18"/>
  <c r="W93" i="18"/>
  <c r="K93" i="18"/>
  <c r="V94" i="18"/>
  <c r="W94" i="18"/>
  <c r="J98" i="18"/>
  <c r="T98" i="18"/>
  <c r="K125" i="18"/>
  <c r="T125" i="18"/>
  <c r="W125" i="18"/>
  <c r="J127" i="18"/>
  <c r="Q63" i="18"/>
  <c r="T63" i="18"/>
  <c r="W63" i="18"/>
  <c r="R63" i="18"/>
  <c r="O66" i="18"/>
  <c r="T66" i="18"/>
  <c r="R101" i="18"/>
  <c r="T101" i="18"/>
  <c r="W101" i="18"/>
  <c r="R108" i="18"/>
  <c r="T108" i="18"/>
  <c r="W108" i="18"/>
  <c r="R123" i="18"/>
  <c r="O132" i="18"/>
  <c r="T132" i="18"/>
  <c r="Q127" i="18"/>
  <c r="Q132" i="18"/>
  <c r="R127" i="18"/>
  <c r="Q157" i="18"/>
  <c r="R157" i="18"/>
  <c r="R168" i="18"/>
  <c r="T175" i="18"/>
  <c r="Q175" i="18"/>
  <c r="R177" i="18"/>
  <c r="T177" i="18"/>
  <c r="W177" i="18"/>
  <c r="AH200" i="18"/>
  <c r="J38" i="18"/>
  <c r="J44" i="18"/>
  <c r="S66" i="18"/>
  <c r="T92" i="18"/>
  <c r="W92" i="18"/>
  <c r="S99" i="18"/>
  <c r="U124" i="18"/>
  <c r="W124" i="18"/>
  <c r="K133" i="18"/>
  <c r="T133" i="18"/>
  <c r="W133" i="18"/>
  <c r="K154" i="18"/>
  <c r="T154" i="18"/>
  <c r="W154" i="18"/>
  <c r="J191" i="18"/>
  <c r="Q64" i="18"/>
  <c r="V64" i="18"/>
  <c r="W64" i="18"/>
  <c r="R143" i="18"/>
  <c r="Q183" i="18"/>
  <c r="Q189" i="18"/>
  <c r="R183" i="18"/>
  <c r="R189" i="18"/>
  <c r="AC48" i="18"/>
  <c r="AD48" i="18"/>
  <c r="O189" i="18"/>
  <c r="Q191" i="18"/>
  <c r="Q200" i="18"/>
  <c r="R191" i="18"/>
  <c r="R200" i="18"/>
  <c r="AC49" i="18"/>
  <c r="AC57" i="18"/>
  <c r="AA110" i="18"/>
  <c r="AA201" i="18"/>
  <c r="AA143" i="18"/>
  <c r="AC158" i="18"/>
  <c r="AD158" i="18"/>
  <c r="Q51" i="18"/>
  <c r="Q57" i="18"/>
  <c r="I85" i="26"/>
  <c r="AC201" i="18"/>
  <c r="AC219" i="18"/>
  <c r="R66" i="18"/>
  <c r="W132" i="18"/>
  <c r="O219" i="18"/>
  <c r="V191" i="18"/>
  <c r="J200" i="18"/>
  <c r="V44" i="18"/>
  <c r="R175" i="18"/>
  <c r="R180" i="18"/>
  <c r="Q180" i="18"/>
  <c r="V180" i="18"/>
  <c r="W180" i="18"/>
  <c r="V127" i="18"/>
  <c r="W127" i="18"/>
  <c r="J132" i="18"/>
  <c r="V132" i="18"/>
  <c r="V51" i="18"/>
  <c r="W51" i="18"/>
  <c r="T25" i="18"/>
  <c r="W17" i="18"/>
  <c r="W25" i="18"/>
  <c r="AJ180" i="18"/>
  <c r="S201" i="18"/>
  <c r="S219" i="18"/>
  <c r="E219" i="18"/>
  <c r="AK124" i="18"/>
  <c r="I201" i="18"/>
  <c r="U44" i="18"/>
  <c r="W44" i="18"/>
  <c r="AC168" i="18"/>
  <c r="W192" i="18"/>
  <c r="T200" i="18"/>
  <c r="T189" i="18"/>
  <c r="W189" i="18"/>
  <c r="AJ201" i="18"/>
  <c r="AJ219" i="18"/>
  <c r="H201" i="18"/>
  <c r="T14" i="18"/>
  <c r="AD49" i="18"/>
  <c r="AD57" i="18"/>
  <c r="R51" i="18"/>
  <c r="R57" i="18"/>
  <c r="T57" i="18"/>
  <c r="R64" i="18"/>
  <c r="K191" i="18"/>
  <c r="K38" i="18"/>
  <c r="W175" i="18"/>
  <c r="V157" i="18"/>
  <c r="W157" i="18"/>
  <c r="Q168" i="18"/>
  <c r="V168" i="18"/>
  <c r="W168" i="18"/>
  <c r="R110" i="18"/>
  <c r="Q66" i="18"/>
  <c r="Q201" i="18"/>
  <c r="Q219" i="18"/>
  <c r="K127" i="18"/>
  <c r="K132" i="18"/>
  <c r="V98" i="18"/>
  <c r="W98" i="18"/>
  <c r="K98" i="18"/>
  <c r="K99" i="18"/>
  <c r="K57" i="18"/>
  <c r="AK193" i="18"/>
  <c r="AK200" i="18"/>
  <c r="AK140" i="18"/>
  <c r="AK143" i="18"/>
  <c r="AK130" i="18"/>
  <c r="AK132" i="18"/>
  <c r="AD149" i="18"/>
  <c r="O201" i="18"/>
  <c r="R132" i="18"/>
  <c r="H219" i="18"/>
  <c r="K77" i="18"/>
  <c r="K79" i="18"/>
  <c r="AD146" i="18"/>
  <c r="K53" i="18"/>
  <c r="U53" i="18"/>
  <c r="W53" i="18"/>
  <c r="K118" i="18"/>
  <c r="K44" i="18"/>
  <c r="G14" i="2"/>
  <c r="I15" i="54"/>
  <c r="I12" i="54"/>
  <c r="H16" i="2"/>
  <c r="I16" i="2"/>
  <c r="AD175" i="18"/>
  <c r="AD180" i="18"/>
  <c r="AD157" i="18"/>
  <c r="AD168" i="18"/>
  <c r="AD130" i="18"/>
  <c r="AD132" i="18"/>
  <c r="V192" i="18"/>
  <c r="K192" i="18"/>
  <c r="K189" i="18"/>
  <c r="K168" i="18"/>
  <c r="W128" i="18"/>
  <c r="V83" i="18"/>
  <c r="W83" i="18"/>
  <c r="J88" i="18"/>
  <c r="V88" i="18"/>
  <c r="W88" i="18"/>
  <c r="W77" i="18"/>
  <c r="AK121" i="18"/>
  <c r="AK36" i="18"/>
  <c r="AK44" i="18"/>
  <c r="AH219" i="18"/>
  <c r="AA219" i="18"/>
  <c r="W30" i="18"/>
  <c r="W32" i="18"/>
  <c r="T32" i="18"/>
  <c r="S13" i="24"/>
  <c r="R24" i="24"/>
  <c r="V175" i="18"/>
  <c r="H20" i="37"/>
  <c r="S17" i="24"/>
  <c r="V57" i="18"/>
  <c r="H14" i="2"/>
  <c r="I14" i="2"/>
  <c r="K200" i="18"/>
  <c r="K201" i="18"/>
  <c r="K219" i="18"/>
  <c r="W57" i="18"/>
  <c r="W191" i="18"/>
  <c r="W200" i="18"/>
  <c r="V200" i="18"/>
  <c r="S24" i="24"/>
  <c r="T201" i="18"/>
  <c r="V66" i="18"/>
  <c r="W66" i="18"/>
  <c r="I219" i="18"/>
  <c r="U201" i="18"/>
  <c r="U219" i="18"/>
  <c r="J201" i="18"/>
  <c r="R201" i="18"/>
  <c r="R219" i="18"/>
  <c r="AD201" i="18"/>
  <c r="AD219" i="18"/>
  <c r="AK201" i="18"/>
  <c r="AK219" i="18"/>
  <c r="V201" i="18"/>
  <c r="V219" i="18"/>
  <c r="J219" i="18"/>
  <c r="W201" i="18"/>
  <c r="W219" i="18"/>
  <c r="T219" i="18"/>
</calcChain>
</file>

<file path=xl/comments1.xml><?xml version="1.0" encoding="utf-8"?>
<comments xmlns="http://schemas.openxmlformats.org/spreadsheetml/2006/main">
  <authors>
    <author>user</author>
  </authors>
  <commentList>
    <comment ref="H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<sst xmlns="http://schemas.openxmlformats.org/spreadsheetml/2006/main" count="2283" uniqueCount="1156">
  <si>
    <t>.</t>
  </si>
  <si>
    <t>x</t>
  </si>
  <si>
    <t>I</t>
  </si>
  <si>
    <t>II</t>
  </si>
  <si>
    <t>III</t>
  </si>
  <si>
    <t>IY</t>
  </si>
  <si>
    <t>NN</t>
  </si>
  <si>
    <t>*</t>
  </si>
  <si>
    <t>N</t>
  </si>
  <si>
    <t>V</t>
  </si>
  <si>
    <t xml:space="preserve">Ձև N  1 </t>
  </si>
  <si>
    <t>Կառավարման  ապարատ</t>
  </si>
  <si>
    <t xml:space="preserve">Հայտատուի  անվանումը </t>
  </si>
  <si>
    <t>հաստատված բյուջե</t>
  </si>
  <si>
    <t>բյուջետային  հայտ</t>
  </si>
  <si>
    <t>Ծառայողական  ավտոմեքենաների  քանակը</t>
  </si>
  <si>
    <t>ԸՆԴԱՄԵՆԸ  ԾԱԽՍԵՐ</t>
  </si>
  <si>
    <t xml:space="preserve">Ձև N  2 </t>
  </si>
  <si>
    <t>կոդը</t>
  </si>
  <si>
    <t>ԸՆԹԱՑԻԿ  ԾԱԽՍԵՐ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</si>
  <si>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</si>
  <si>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</si>
  <si>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</si>
  <si>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</si>
  <si>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</si>
  <si>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</si>
  <si>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</si>
  <si>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</si>
  <si>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</si>
  <si>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</si>
  <si>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</si>
  <si>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</si>
  <si>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</si>
  <si>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</si>
  <si>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</si>
  <si>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</si>
  <si>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</si>
  <si>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</si>
  <si>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</si>
  <si>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</si>
  <si>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</si>
  <si>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</si>
  <si>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</si>
  <si>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</si>
  <si>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</si>
  <si>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</si>
  <si>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</si>
  <si>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</si>
  <si>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</si>
  <si>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</si>
  <si>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Այլ նպաստներ բյուջեից</t>
  </si>
  <si>
    <t>Այլ հարկեր</t>
  </si>
  <si>
    <t>Պարտադիր վճարներ</t>
  </si>
  <si>
    <t>Այլ  ծախսեր</t>
  </si>
  <si>
    <t>Պահուստային միջոցներ</t>
  </si>
  <si>
    <t>այդ  թվում`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</si>
  <si>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</si>
  <si>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</si>
  <si>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</si>
  <si>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</si>
  <si>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</si>
  <si>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>Հ Ա Շ Վ Ա Ր Կ</t>
  </si>
  <si>
    <t>Բաժանորդային վարձ</t>
  </si>
  <si>
    <t xml:space="preserve"> Հեռախոսային խոսակցություններ</t>
  </si>
  <si>
    <t xml:space="preserve">Փոքր ունակությամբ (PABX) հեռախոսակայան ներ չշահագործող մարմին ների սովորական հեռախո սի բաժանորդային վարձ (տարեկան) </t>
  </si>
  <si>
    <t xml:space="preserve">Փոքր ունակությամբ (PABX) հեռախոսակայան ներ շահագործող մարմին ների սովորական հեռախո սի բաժանորդային վարձ (տարեկան) </t>
  </si>
  <si>
    <t>Ընդամենը սովորական հեռախոսի բաժանորդային վարձ (տարեկան)</t>
  </si>
  <si>
    <t>քանակը</t>
  </si>
  <si>
    <t>(դրամ)</t>
  </si>
  <si>
    <t xml:space="preserve">տեղական ելից հեռախոսային խոսակցություններ </t>
  </si>
  <si>
    <t xml:space="preserve"> (րոպե)</t>
  </si>
  <si>
    <t>դրամ</t>
  </si>
  <si>
    <t xml:space="preserve">Ընդամենը հեռախոսային խոսակցություն ների համար սահմանվող ամսական վճար </t>
  </si>
  <si>
    <t xml:space="preserve">Հեռախոսային խոսակցություն ների տարեկան սահմանաչափ </t>
  </si>
  <si>
    <t>Փոստային կապի ծառայություններ</t>
  </si>
  <si>
    <t>Ընդամենը կապի ծառայությունների վճարներ (տարեկան)</t>
  </si>
  <si>
    <t>Հաստիքը  կամ  ստորաբաժանումը</t>
  </si>
  <si>
    <t>Պետական մարմին - ընդամենը աշխատողների թիվը</t>
  </si>
  <si>
    <t>Ղեկավար</t>
  </si>
  <si>
    <t>Ղեկավարի տեղակալ /անդամներ/</t>
  </si>
  <si>
    <t>Ղեկավարի խորհրդական</t>
  </si>
  <si>
    <t>Ղեկավարի օգնական</t>
  </si>
  <si>
    <t>Ղեկավարի մամուլի քարտուղար</t>
  </si>
  <si>
    <t>Աշխատակազմի ղեկավար</t>
  </si>
  <si>
    <t>Աշխատակազմի ղեկավարի տեղակալ</t>
  </si>
  <si>
    <t>Աշխատակազմի առանձնացված ստորաբաժանման ղեկավար</t>
  </si>
  <si>
    <t>Աշխատակազմի առանձնացված ստորաբաժանման տարածքային մարմնի ղեկավար</t>
  </si>
  <si>
    <t>Աշխատակազմի առանձնացված ստորաբաժանում</t>
  </si>
  <si>
    <t>Աշխատակազմի առանձնացված ստորաբաժանման տարածքային մարմին</t>
  </si>
  <si>
    <t>Աշխատակազմի կառուցվածքային ստորաբաժանման ղեկավար</t>
  </si>
  <si>
    <t>Աշխատակազմի արտաքին կապերի վարչություն</t>
  </si>
  <si>
    <t>Աշխատակազմի վարչություն /քարտուղարություն/</t>
  </si>
  <si>
    <t>Աշխատակազմի ինքնուրույն բաժին</t>
  </si>
  <si>
    <t>Աշխատակազմի քարտուղարություն</t>
  </si>
  <si>
    <t>Տեխնիկական սպասարկում իրականացնող անձնակազմ</t>
  </si>
  <si>
    <t>Յուրաքանչյուր 4 կամ 5 միավորի համար մեկական հեռախոսագիծ (բացառությամբ տեխնիկական սպասարկողների)</t>
  </si>
  <si>
    <t>Ընդամենը</t>
  </si>
  <si>
    <t>հ/հ</t>
  </si>
  <si>
    <t>Ձև N 7</t>
  </si>
  <si>
    <t>Ինտերնետ</t>
  </si>
  <si>
    <t>Ձև N 8</t>
  </si>
  <si>
    <t>Համակար     գիչների քանակը  (հատ)</t>
  </si>
  <si>
    <t xml:space="preserve">Հզորությունը </t>
  </si>
  <si>
    <t>Շահագործ  ման ժամերի տարեկան քանակը</t>
  </si>
  <si>
    <t>Շենքերի և շինություն ների մակերեսը (քառ/մետր)</t>
  </si>
  <si>
    <t>Տարեկան ծախսի նորմը (կվտ.ժ)</t>
  </si>
  <si>
    <t>Ընդամենը  տարեկան ծախսի նորմը (կվտ.ժ)</t>
  </si>
  <si>
    <t>Ընդամենը էլեկտրաէներ  գիայի ծախս               (հազ. դրամ)</t>
  </si>
  <si>
    <t xml:space="preserve"> Այլ հատուկ սարքեր /վերելակներ, ներքին հեռախոսակայաններ, արտաքին լուսավորություն և այլն/</t>
  </si>
  <si>
    <t>Լուսավորության և կենցաղային սարքերի ծախսի, օդի լավորակման դեպքում` ենքերի և շինությունների 1քառ/մետր մակերեսի համար</t>
  </si>
  <si>
    <t>Լուսավորության և կենցաղային սարքերի ծախսի, առանց օդի լավորակման դեպքում` շենքերի և շինությունների 1 քառ/մետր մակերեսի համար</t>
  </si>
  <si>
    <t>Համակարգիչների` 1 հատի համար, որը ներառում է տպիչ սարքերի և այլ կազմտեխնիկայի ծախսը, 8-ժամյա աշխատանքային օրվա համար</t>
  </si>
  <si>
    <t>այդ թվում`</t>
  </si>
  <si>
    <t>Բնակավայրը</t>
  </si>
  <si>
    <t>Շենքի տեսակը  (քար / պանելային,   միաձույլ)</t>
  </si>
  <si>
    <t xml:space="preserve">Շենքի ծավալը (խոր/մետր) հաշվարկված արտաքին չափերով </t>
  </si>
  <si>
    <t>այդ թվում` զբաղեցրած տարածքի ծավալը (խոր. մետր)</t>
  </si>
  <si>
    <t xml:space="preserve">քար </t>
  </si>
  <si>
    <t>պանելային,      միաձույլ</t>
  </si>
  <si>
    <t>Ընդամենը ջեռուցման համար էլեկտրաէներգիայի ծախս               (հազ. դրամ)</t>
  </si>
  <si>
    <t>Ձև N 10</t>
  </si>
  <si>
    <t>Ձև N 11</t>
  </si>
  <si>
    <t>Տ Ե Ղ Ե Կ Ա Ն Ք</t>
  </si>
  <si>
    <t xml:space="preserve">գործուղման ծախսերի հաշվարկման վերաբերյալ </t>
  </si>
  <si>
    <t xml:space="preserve">հազ. դրամ </t>
  </si>
  <si>
    <t>Գործուղման վայրեր</t>
  </si>
  <si>
    <t>Գործուղման տևողությունը</t>
  </si>
  <si>
    <t>Գործուղման մեկնողների թիվը</t>
  </si>
  <si>
    <t>Օրապահիկ</t>
  </si>
  <si>
    <t>Վճարը 1 օրվա համար</t>
  </si>
  <si>
    <t>Ճանապարհածախսը  1 անձի համար մեկ ուղղությամբ</t>
  </si>
  <si>
    <t>Ընդամենը ծախսեր</t>
  </si>
  <si>
    <t>Գիշերավարձ</t>
  </si>
  <si>
    <t>Ճանապարհածախս              1 անձի համար մեկ ուղղությամբ</t>
  </si>
  <si>
    <t xml:space="preserve">Ծախսերի տարբերու թյունը             </t>
  </si>
  <si>
    <t>Ձև N 12</t>
  </si>
  <si>
    <t>Ավտոմեքենայի  մակնիշը</t>
  </si>
  <si>
    <t>Թողարկման տարեթիվը</t>
  </si>
  <si>
    <t>Ձեռքբերման արժեքը   /հազ.դրամ/</t>
  </si>
  <si>
    <t>Մաշվածության գումարը /հազ.դրամ/</t>
  </si>
  <si>
    <t>Մաշվածության %-ը</t>
  </si>
  <si>
    <t>Հաշվեկշռային (մնացոր դային)  արժեքը /հազ.դրամ/</t>
  </si>
  <si>
    <t>Քանակը</t>
  </si>
  <si>
    <t>Մեկ միավորի գինը     /հազ.  դրամ/</t>
  </si>
  <si>
    <t>Ընդամենը ծախսեր /հազ.  դրամ/</t>
  </si>
  <si>
    <t xml:space="preserve">Այդ թվում` </t>
  </si>
  <si>
    <t>Ապրանքի  անվանումը</t>
  </si>
  <si>
    <t>Չափի միավորը</t>
  </si>
  <si>
    <t>Ձեռքբեր ման  տարեթիվը</t>
  </si>
  <si>
    <t>Սկզբնական արժեքը   /հազ.դրամ/</t>
  </si>
  <si>
    <t>Տեխնիկայի միջոցներ /համակարգիչներ, տպիչներ, պատճենահանման սարքեր և այլ/</t>
  </si>
  <si>
    <t>Գրասենյակային գույք</t>
  </si>
  <si>
    <t>Ընդամենը վարչական սարքավորումներ</t>
  </si>
  <si>
    <t>Ձև N 15</t>
  </si>
  <si>
    <t>Կառուցվածքային ստորաբաժանումների անվանումը</t>
  </si>
  <si>
    <t>Հաստիքային միավորների թիվը</t>
  </si>
  <si>
    <t xml:space="preserve">Վարչություններ </t>
  </si>
  <si>
    <t>Քարտուղարություն</t>
  </si>
  <si>
    <t>Բաժիններ</t>
  </si>
  <si>
    <t>/դրամ/</t>
  </si>
  <si>
    <t>Տարբերությունը</t>
  </si>
  <si>
    <t>Հաստիքային ցուցակի համեմատական</t>
  </si>
  <si>
    <t>Անուն, Ազգանուն</t>
  </si>
  <si>
    <t>Պաշտոնի անվանումը</t>
  </si>
  <si>
    <t>Պաշտոնի    կոդը</t>
  </si>
  <si>
    <t>Բարձր լեռնային վայրերում աշխատելու համար հավելում</t>
  </si>
  <si>
    <t>Այլ հավելա վճարներ</t>
  </si>
  <si>
    <t xml:space="preserve">Ըստ հաստատված կառուցվածքային ստորաբաժանումների </t>
  </si>
  <si>
    <t>Վարչություն /բաժին/</t>
  </si>
  <si>
    <t>Ընդամենը ըստ ստորաբաժանման</t>
  </si>
  <si>
    <t>Ընդամենը  ըստ  պետական կառավարման  մարմնի</t>
  </si>
  <si>
    <t>Հաստիքային ցուցակը կազմել ըստ հաստատված կառուցվածքային ստորաբաժանումների</t>
  </si>
  <si>
    <t>Դիվանագիտական ծառայողներ</t>
  </si>
  <si>
    <t xml:space="preserve">Սահմանվող պաշտոնային դրույքաչափը </t>
  </si>
  <si>
    <t>Հավելավճարներ</t>
  </si>
  <si>
    <t>Դատավորներ</t>
  </si>
  <si>
    <t xml:space="preserve">Ընդամենը ամսական աշխատա վարձի ֆոնդ  </t>
  </si>
  <si>
    <t>Դատախազներ</t>
  </si>
  <si>
    <t>Հատուկ քննչական ծառայության ծառայողներ</t>
  </si>
  <si>
    <t>Ձև N 29</t>
  </si>
  <si>
    <t>Հարկային ծառայողներ</t>
  </si>
  <si>
    <t>Մաքսային ծառայողներ</t>
  </si>
  <si>
    <t>Հարկադիր կատարողներ</t>
  </si>
  <si>
    <t xml:space="preserve">  4111</t>
  </si>
  <si>
    <t xml:space="preserve">  4112</t>
  </si>
  <si>
    <t>4113</t>
  </si>
  <si>
    <t>Շենքերի պահպանման ծառայություններ /դեռատիզացիա/</t>
  </si>
  <si>
    <t>աղբահանություն</t>
  </si>
  <si>
    <t>այլ</t>
  </si>
  <si>
    <t>ավտոմեքենաների տեխզննություն և բնապահպանական վճար</t>
  </si>
  <si>
    <t>Ընթացիկ սուբվենցիաներ համայնքներին</t>
  </si>
  <si>
    <t>Հաստիքային  միավորների  թիվը</t>
  </si>
  <si>
    <t>Էլեկտրաէներգիայով ջեռուցման ծառայություններ</t>
  </si>
  <si>
    <t xml:space="preserve">Հիմնավորումներ 8-րդ սյունակում ներկայացված փոփոխությունների վերաբերյալ  </t>
  </si>
  <si>
    <t xml:space="preserve">միջազգային ելից հեռախոսային  խոսակցություններ, այդ թվում` ֆաքսի միլային  միջազգային հաղորդագրություններ </t>
  </si>
  <si>
    <t xml:space="preserve">միջքաղաքային և դեպի բջջային ցանց ելից հեռախոսային խոսակցություններ, այդ թվում` ֆաքսիմիլային  միջքաղաքային հաղորդագրություններ </t>
  </si>
  <si>
    <r>
      <t xml:space="preserve">Ում է սպասարկում /նշել զբաղեցրած պաշտոնը/ </t>
    </r>
    <r>
      <rPr>
        <b/>
        <i/>
        <sz val="10"/>
        <color indexed="10"/>
        <rFont val="GHEA Grapalat"/>
        <family val="3"/>
      </rPr>
      <t>ենթակա է պարտադիր լրացման</t>
    </r>
  </si>
  <si>
    <t>Սահմանվող պաշտոնային դրույքաչափը /դրամ/</t>
  </si>
  <si>
    <t xml:space="preserve">Հաստիքային միավորների թիվը </t>
  </si>
  <si>
    <t xml:space="preserve">Ամսական աշխատա    վարձի ֆոնդ    </t>
  </si>
  <si>
    <r>
      <t>*</t>
    </r>
    <r>
      <rPr>
        <sz val="10"/>
        <color indexed="8"/>
        <rFont val="GHEA Grapalat"/>
        <family val="3"/>
      </rPr>
      <t>Աշխատավարձի հաշվարկման համար բազային աշխատավարձի չափը կազմում է 66140.0 դրամ:</t>
    </r>
  </si>
  <si>
    <t>2018թ.</t>
  </si>
  <si>
    <t xml:space="preserve">Ընդամենը տարեկան աշխատա վարձի ֆոնդ  </t>
  </si>
  <si>
    <t>Քննչական կոմիտեի ծառայողներ</t>
  </si>
  <si>
    <t>…</t>
  </si>
  <si>
    <t>Բաժանորդային վարձի սակագինը ըստ կապի օպերատորի հետ կնքված պայմանագրի (ՀՀ դրամով` առանց ԱԱՀ-ի)</t>
  </si>
  <si>
    <t>Տրանսպորտային նյութեր</t>
  </si>
  <si>
    <t xml:space="preserve">Գյուղատնտեսական ապրանքներ </t>
  </si>
  <si>
    <t xml:space="preserve">Կենցաղային և հանրային սննդի նյութեր </t>
  </si>
  <si>
    <t>Հատուկ հեռախոսակապ</t>
  </si>
  <si>
    <t>2019թ.</t>
  </si>
  <si>
    <t>Ց Ա Ն Կ</t>
  </si>
  <si>
    <t xml:space="preserve">ՀՀ պետական մարմինների ծառայողական ավտոմեքենաների վերաբերյալ   </t>
  </si>
  <si>
    <t>ՀՀ պետական մարմինների տեխնիկայի միջոցների և գրասենյակային գույքի վերաբերյալ</t>
  </si>
  <si>
    <t>Պետական մարմնի կառուցվածքի և աշխատողների թվի վերաբերյալ</t>
  </si>
  <si>
    <t xml:space="preserve">Հայեցողական պաշտոններ </t>
  </si>
  <si>
    <t>օգնական</t>
  </si>
  <si>
    <t>մամուլի քարտուղար</t>
  </si>
  <si>
    <t>Տեխնիկական սպասարկում իրականացնող և քաղաքացիական աշխատանք կատարող անձնակազմ</t>
  </si>
  <si>
    <t>IV</t>
  </si>
  <si>
    <t xml:space="preserve">Ընդամենը աշխատողների թվաքանակը </t>
  </si>
  <si>
    <t>Նշել մարմնի կառուցվածքը  հաստատող  համապատասխան իրավական ակտի տարեթիվը և համարը</t>
  </si>
  <si>
    <t>Քաղաքացիական /պետական, հատուկ/ ծառայողներ</t>
  </si>
  <si>
    <t xml:space="preserve">Գործակից /2019թ. հուլիսի 1-ի դրությամբ/  </t>
  </si>
  <si>
    <t xml:space="preserve">Ընդամենը ամսական աշխատա վարձ  </t>
  </si>
  <si>
    <t>Ընդամենը ամսական աշխատավարձ</t>
  </si>
  <si>
    <t>Ընդամենը ամսական աշխատավարձ  /ս.8+ս.9+ս.10/</t>
  </si>
  <si>
    <t>Քաղաքացիական /պետական, դատական, հատուկ/ ծառայողներ</t>
  </si>
  <si>
    <t>Աշխատավարձի ֆոնդի հաշվարկ</t>
  </si>
  <si>
    <t>Ձև N 16</t>
  </si>
  <si>
    <t xml:space="preserve"> /հազ. դրամ/</t>
  </si>
  <si>
    <t>/հազ. դրամ/</t>
  </si>
  <si>
    <t>Մաշվածությունը (տարեկան 12%)</t>
  </si>
  <si>
    <t>Պետական մարմնի կողմից զբաղեցված տարածքների</t>
  </si>
  <si>
    <t>Զբաղեցվող տարածքի գտնվելու հասցեն</t>
  </si>
  <si>
    <t>Ընդամենը՝</t>
  </si>
  <si>
    <t>Տարեկան վարձավճարի գումարը                   (հազ դրամ)</t>
  </si>
  <si>
    <t>Տարածքը (քառ մետր)</t>
  </si>
  <si>
    <t>Պետական մարմնի ստորաբաժանման անվանումը, որի կողմից զբաղեցված է համապատասխան տարածքը</t>
  </si>
  <si>
    <t>2020թ. բյուջետային հայտ</t>
  </si>
  <si>
    <t>2020թ.</t>
  </si>
  <si>
    <t>Ընթացիկ դրամաշնորհներ պետական կառավարման հատվածին</t>
  </si>
  <si>
    <t>Աշխատակազմի մասնագիտական զարգացման ծառայություններ</t>
  </si>
  <si>
    <t xml:space="preserve">2020թ. </t>
  </si>
  <si>
    <t xml:space="preserve">Գործակից /2020թ. հուլիսի 1-ի դրությամբ/  </t>
  </si>
  <si>
    <t>4639</t>
  </si>
  <si>
    <t>Այլ ընթացիկ դրամաշնորհներ</t>
  </si>
  <si>
    <t>2021թ. բյուջետային հայտ</t>
  </si>
  <si>
    <t>Բյուջետային ծախսերի տնտ. դասակարգման հոդվածի անվանումը</t>
  </si>
  <si>
    <t>այդ  թվում՝</t>
  </si>
  <si>
    <t xml:space="preserve">  փաստացի  կատարո ղական</t>
  </si>
  <si>
    <t>Գազով ջեռուցման ծառայություններ</t>
  </si>
  <si>
    <t>Բյուջետային ծախսերի տնտեսագիտական դասակարգման հոդվածի անվանումը</t>
  </si>
  <si>
    <t>Կապի այլ ծառայություններ</t>
  </si>
  <si>
    <t>(ս.4 x բաժանորդային վարձ (առանց ԱԱՀ) x 12ամիս) դրամ</t>
  </si>
  <si>
    <r>
      <t xml:space="preserve">ԸՆԴԱՄԵՆԸ                        (ներառյալ՝ </t>
    </r>
    <r>
      <rPr>
        <i/>
        <sz val="10"/>
        <rFont val="GHEA Grapalat"/>
        <family val="3"/>
      </rPr>
      <t>ԱԱՀ-ն)</t>
    </r>
  </si>
  <si>
    <t>Ընդամենը  տարեկան ծախսի նորմը (կվտ/ժ)</t>
  </si>
  <si>
    <t xml:space="preserve">Ջերմային էներգիայի տարեկան ծախսի նորմը` կվտ/Ժ/ խոր.մետր                 </t>
  </si>
  <si>
    <t>համաձայն ՀՀ կառավարության 2005 թվականի փետրվարի 17-ի N 194-Ն որոշմամբ հաստատված կարգի</t>
  </si>
  <si>
    <t>Առկա մեքենաներ</t>
  </si>
  <si>
    <t>հոդվածի կոդը</t>
  </si>
  <si>
    <t>Ձև N 3</t>
  </si>
  <si>
    <t xml:space="preserve">Ձև N  4 </t>
  </si>
  <si>
    <t>ՎԱՐՁԱԿԱԼՈՒԹՅԱՄԲ</t>
  </si>
  <si>
    <t>ՍԵՓԱԿԱՆՈՒԹՅԱՆ ԻՐԱՎՈՒՆՔՈՎ</t>
  </si>
  <si>
    <t xml:space="preserve">ԱՆՀԱՏՈՒՅՑ ՕԳՏԱԳՈՐԾՄԱՆ </t>
  </si>
  <si>
    <t>Տարածքը զբաղեցնելու իրավական հիմքը (համապատասխան իրավական ակտի, Վարձակալության պայմանագրի կամ սեփականության վկայականի համարը)</t>
  </si>
  <si>
    <t>Վարձակալությամբ/ենթավար-ձակալությամբ գույքը հանձնող սուբյեկտի անվանումը՝ ըստ  պայմանագրի</t>
  </si>
  <si>
    <t>Տվյալ պաշտոնում աշխատանքային ստաժը /2020թ. հուլիսի 1-ի դրությամբ/  (տարի/ամիս)</t>
  </si>
  <si>
    <t xml:space="preserve">2021թ. </t>
  </si>
  <si>
    <t>Տվյալ պաշտոնում աշխատան քային ստաժը /2021թ. հուլիսի 1-ի դրությամբ/  (տարի/ամիս)</t>
  </si>
  <si>
    <t xml:space="preserve">Գործակից /2021թ. հուլիսի 1-ի դրությամբ/  </t>
  </si>
  <si>
    <t>2021թ.</t>
  </si>
  <si>
    <t>լրացնել ապրանքի կամ ծառայության նկարագրությունը</t>
  </si>
  <si>
    <t>Ծառայողական գործուղումների գծով ծախսեր</t>
  </si>
  <si>
    <t xml:space="preserve">Տվյալ տարածքում վճարման ենթակա ընդամենը կոմունալ ծախսը                  </t>
  </si>
  <si>
    <t>Էլեկտրաէներգիա (լուսավորություն)  /հազ դրամ/</t>
  </si>
  <si>
    <t>Էլեկտրաէներգիա (ջեռուցում)           /հազ դրամ/</t>
  </si>
  <si>
    <t>Գազ (ջեռուցում)          /հազ դրամ/</t>
  </si>
  <si>
    <t>Ջուր                   /հազ դրամ/</t>
  </si>
  <si>
    <t>2022թ. բյուջետային հայտ</t>
  </si>
  <si>
    <t>հայտի տարբերությունը 2019թ. հաստատվածի նկատմամբ</t>
  </si>
  <si>
    <t>հայտի տարբերությունը 2018թ. փաստացի կատարողականի նկատմամբ</t>
  </si>
  <si>
    <t>4824</t>
  </si>
  <si>
    <t>Առողջապահական և լաբորատոր նյութեր</t>
  </si>
  <si>
    <t xml:space="preserve"> Ընթացիկ դրամաշնորհներ պետական և համայնքային  առևտրային կազմակերպություններին</t>
  </si>
  <si>
    <t>2019թ. հաստատված</t>
  </si>
  <si>
    <t>2020թ. բյուջետային հայտի և  2019թ. հաստատվածի տարբերությունը</t>
  </si>
  <si>
    <t>Տնտեսագիտական դասակարգման հոդվածների գծով 2020թ. ընթացքում նախատեսվող ծախսերը՝ ըստ ապրանքների և ծառայությունների տեսակների</t>
  </si>
  <si>
    <t>ՀՀ  պետական  մարմինների 2020 թվականի  կապի ծառայությունների  վճարների</t>
  </si>
  <si>
    <t>ՀՀ  պետական  մարմինների 2020 թվականի էլեկտրաէներգիայի ծախսերի /բացառությամբ ջեռուցման/</t>
  </si>
  <si>
    <t>ՀՀ  պետական մարմինների վարչական շենքերի և շինությունների 2020 թվականի ջեռուցման համար անհրաժեշտ էլեկտրաէներգիայի ծախսերի</t>
  </si>
  <si>
    <t>2018թ. փաստացի</t>
  </si>
  <si>
    <t xml:space="preserve"> 2019թ. ընթացքում գնման ենթակա </t>
  </si>
  <si>
    <t>առ 01.01.2019թ.</t>
  </si>
  <si>
    <t>Բաժին</t>
  </si>
  <si>
    <t>խումբ</t>
  </si>
  <si>
    <t>դաս</t>
  </si>
  <si>
    <t xml:space="preserve"> Ծրագրային դասիչը</t>
  </si>
  <si>
    <t xml:space="preserve"> Ծրագիր</t>
  </si>
  <si>
    <t xml:space="preserve"> Միջոցառում</t>
  </si>
  <si>
    <t xml:space="preserve"> այդ թվում`</t>
  </si>
  <si>
    <t>(միջոցառման անվանումը)</t>
  </si>
  <si>
    <t>(լրացնել ծրագրի անվանումը)</t>
  </si>
  <si>
    <t>(լրացնել միջոցառման անվանումը)</t>
  </si>
  <si>
    <t xml:space="preserve"> 2019թ. հաստատված բյուջե</t>
  </si>
  <si>
    <t>2020թ. բյուջետային  հայտ</t>
  </si>
  <si>
    <t>Ծրագրի վրա կատարվող ծախսը (հազար դրամ)</t>
  </si>
  <si>
    <t>2021թ. բյուջետային  հայտ</t>
  </si>
  <si>
    <t>2022թ. բյուջետային  հայտ</t>
  </si>
  <si>
    <t>2018թ.  փաստացի  կատարողական</t>
  </si>
  <si>
    <t xml:space="preserve">Ընդհանուր գումարը            </t>
  </si>
  <si>
    <t>ենթակա է պարտադիր լրացման</t>
  </si>
  <si>
    <t xml:space="preserve">Բյուջետային ծախսերի տնտեսագիտական դասակարգման մյուս հոդվածների գծով ավելացնել նոր տողեր՝ ըստ անհրաժեշտության </t>
  </si>
  <si>
    <t>Պետական հատվածի տարբեր մակարդակների կողմից միմյանց նկատմամբ կիրառվող տույժեր</t>
  </si>
  <si>
    <t xml:space="preserve">2022թ. </t>
  </si>
  <si>
    <t>Միջոցառման վրա կատարվող ծախսը - ընթացիկ ծախսեր (հազար դրամ)</t>
  </si>
  <si>
    <t>Միջոցառման վրա կատարվող ծախսը - ոչ ֆինանսական ակտիվների գծով ծախսեր (հազար դրամ)</t>
  </si>
  <si>
    <t xml:space="preserve">Ղեկավար պաշտոններ </t>
  </si>
  <si>
    <t>ՀՀ կառավարության  2014թ. հուլիսի 3-ի «Պետական իշխանության մարմիններում քաղաքացիական աշխատանք կատարող և տեխնիկական սպասարկում իրականացնող անձանց պաշտոնային դրույքաչափերը սահմանելու մասին» N 737-Ն որոշում</t>
  </si>
  <si>
    <t>«Պետական պաշտոններ և պետական ծառայության պաշտոններ զբաղեցնող անձանց վարձատրության մասին» ՀՀ օրենք</t>
  </si>
  <si>
    <t>Տվյալ պաշտոնում աշխատանքային ստաժը /2019թ. հուլիսի 1-ի դրությամբ/  (տարի/ամիս)</t>
  </si>
  <si>
    <t xml:space="preserve">Գործակից /2022թ. հուլիսի 1-ի դրությամբ/  </t>
  </si>
  <si>
    <t xml:space="preserve">Քաղաքացիական աշխատանք կատարող և տեխնիկական սպասարկում իրականացնող անձնակազմ </t>
  </si>
  <si>
    <r>
      <t>*</t>
    </r>
    <r>
      <rPr>
        <sz val="8"/>
        <rFont val="GHEA Grapalat"/>
        <family val="3"/>
      </rPr>
      <t xml:space="preserve">Սահմանվող պաշտոնային դրույքաչափը /ս.7 x բազային աշխատավարձ/ </t>
    </r>
  </si>
  <si>
    <t xml:space="preserve"> Բյուջետային հատկացումների ծրագրերի և միջոցառումների անվանումները</t>
  </si>
  <si>
    <t>Հայեցողական պաշտոններ /խորհրդական, օգնական, մամուլի քարտուղար/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</si>
  <si>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</si>
  <si>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>Ձև N 30</t>
  </si>
  <si>
    <t>/գերատեսչության անվանումը/</t>
  </si>
  <si>
    <t>/հազ դրամ/</t>
  </si>
  <si>
    <t>Ցուցանիշը</t>
  </si>
  <si>
    <t>Պետական հիմնարկ (ապարատ)</t>
  </si>
  <si>
    <t>ՊՈԱԿ-ներ</t>
  </si>
  <si>
    <t>Հիմնադրամներ</t>
  </si>
  <si>
    <t>ԾԻԳ</t>
  </si>
  <si>
    <t>Արդյունքի կատարողականի ցուցանիշ</t>
  </si>
  <si>
    <t>Ա.</t>
  </si>
  <si>
    <t>Պետական բյուջեից</t>
  </si>
  <si>
    <t>Համայնքային բյուջեից</t>
  </si>
  <si>
    <t>Արտաբյուջեից</t>
  </si>
  <si>
    <t>Այլ աղբյուրներից</t>
  </si>
  <si>
    <t>Բ.</t>
  </si>
  <si>
    <t>Ընդամենը աշխատողների թիվը</t>
  </si>
  <si>
    <t>այդ թվում՝</t>
  </si>
  <si>
    <t>1.1.</t>
  </si>
  <si>
    <t>սահմանված թվաքանակ</t>
  </si>
  <si>
    <t>1.2.</t>
  </si>
  <si>
    <t>պայմանագրային աշխատողներ՝ սահմանված թվաքանակից ավելի</t>
  </si>
  <si>
    <t>Ղեկավար պաշտոնների և նրանց սպասարկող աշխատողների թիվը</t>
  </si>
  <si>
    <t>2.1.</t>
  </si>
  <si>
    <t>ղեկավար, տեղակալ</t>
  </si>
  <si>
    <t>2.2.</t>
  </si>
  <si>
    <t>ղեկավար պաշտոններին սպասարկող քաղաքացիական աշխատողներ (խորհրդական, օգնական)</t>
  </si>
  <si>
    <t>2.3.</t>
  </si>
  <si>
    <t>ղեկավար պաշտոններին սպասարկող տեխնիկական աշխատողներ (գործավար, վարորդ)</t>
  </si>
  <si>
    <t>քաղաքացիական ծառայության ղեկավար պաշտոններ</t>
  </si>
  <si>
    <t>Միջին ամսական աշխատավարձ (տարեկան աշխատավարձի ֆոնդ/թվաքանակ/12)</t>
  </si>
  <si>
    <t xml:space="preserve">Զբաղեցված վարչական տարածքը </t>
  </si>
  <si>
    <t>4.1.</t>
  </si>
  <si>
    <t>4.3.</t>
  </si>
  <si>
    <t>Ավտոմեքենաների քանակը</t>
  </si>
  <si>
    <t>5.1.</t>
  </si>
  <si>
    <t>ղեկավարների ծառայողական ավտոմեքենաները</t>
  </si>
  <si>
    <t>5.2.</t>
  </si>
  <si>
    <t>հիմնարկին սպասարկող ավտոմեքենաները</t>
  </si>
  <si>
    <t>2019թ. Ընդամենը պահպանման ծախսեր (ապարատ)</t>
  </si>
  <si>
    <t>ղեկավար, տեղակալ, քաղաքացիական ծառայության ղեկավար պաշտոններ,               այդ թվում՝</t>
  </si>
  <si>
    <t>2.1.1</t>
  </si>
  <si>
    <t>2.1.2</t>
  </si>
  <si>
    <t>Առևտրային կազմակերպություններ</t>
  </si>
  <si>
    <t>Ամփոփ ցուցանիշներ</t>
  </si>
  <si>
    <t>2019թ. բյուջե, այդ թվում՝ մուտքեր</t>
  </si>
  <si>
    <r>
      <t>անհատույց օգտագործման կամ սեփականության իրավունքով (</t>
    </r>
    <r>
      <rPr>
        <i/>
        <sz val="10"/>
        <color indexed="8"/>
        <rFont val="GHEA Grapalat"/>
        <family val="3"/>
      </rPr>
      <t>քմ</t>
    </r>
    <r>
      <rPr>
        <sz val="11"/>
        <color indexed="8"/>
        <rFont val="GHEA Grapalat"/>
        <family val="3"/>
      </rPr>
      <t>)</t>
    </r>
  </si>
  <si>
    <r>
      <t>վարձակալությամբ (</t>
    </r>
    <r>
      <rPr>
        <i/>
        <sz val="10"/>
        <color indexed="8"/>
        <rFont val="GHEA Grapalat"/>
        <family val="3"/>
      </rPr>
      <t>քմ</t>
    </r>
    <r>
      <rPr>
        <sz val="11"/>
        <color indexed="8"/>
        <rFont val="GHEA Grapalat"/>
        <family val="3"/>
      </rPr>
      <t>)</t>
    </r>
  </si>
  <si>
    <r>
      <t>տարեկան վարձավճարի չափը (</t>
    </r>
    <r>
      <rPr>
        <i/>
        <sz val="10"/>
        <color indexed="8"/>
        <rFont val="GHEA Grapalat"/>
        <family val="3"/>
      </rPr>
      <t>հազ դրամ</t>
    </r>
    <r>
      <rPr>
        <sz val="11"/>
        <color indexed="8"/>
        <rFont val="GHEA Grapalat"/>
        <family val="3"/>
      </rPr>
      <t>)</t>
    </r>
  </si>
  <si>
    <t>Ք Աբովյան</t>
  </si>
  <si>
    <t>Ք Եղվարդ</t>
  </si>
  <si>
    <t>հեռախոսակայան</t>
  </si>
  <si>
    <t>վերելակ</t>
  </si>
  <si>
    <t>ՀՀ ԿՈՏԱՅՔԻ ՄԱՐԶՊԵՏԱՐԱՆ</t>
  </si>
  <si>
    <t>Հայտատուի  անվանումը  ՀՀ ԿՈՏԱՅՔԻ ՄԱՐԶՊԵՏԱՐԱՆ</t>
  </si>
  <si>
    <t>Երևան</t>
  </si>
  <si>
    <t>Աբովյան</t>
  </si>
  <si>
    <t>Եղվարդ</t>
  </si>
  <si>
    <t>Հրազդան</t>
  </si>
  <si>
    <t>Տոյոտա Քեմրի</t>
  </si>
  <si>
    <t>ԿԻԱ Օպտիմա</t>
  </si>
  <si>
    <t>Հունդաի Սոնատա</t>
  </si>
  <si>
    <t>ՎԱԶ 2106</t>
  </si>
  <si>
    <t>մարզպետ</t>
  </si>
  <si>
    <t>մարզպետի տեղակալ</t>
  </si>
  <si>
    <t>մարզպետի խորհրդական</t>
  </si>
  <si>
    <t>ՏԻՄ վարչություն</t>
  </si>
  <si>
    <t>Ընդամենը ծառայողական ավտոմեքենաների  սահմանաքանակը` 8</t>
  </si>
  <si>
    <t>P4 M1 7gh Notebook</t>
  </si>
  <si>
    <t>հատ</t>
  </si>
  <si>
    <t xml:space="preserve">P4 MB Sony Vaio </t>
  </si>
  <si>
    <t>P4 2,4 gh</t>
  </si>
  <si>
    <t>կոմպլեկտ</t>
  </si>
  <si>
    <t>UPS Epro</t>
  </si>
  <si>
    <t>P4 3,0 gh</t>
  </si>
  <si>
    <t>Տպիչ Canon</t>
  </si>
  <si>
    <t>Տպիչ HP LJ 1010</t>
  </si>
  <si>
    <t>պատճենահանող սարք Canon 7161</t>
  </si>
  <si>
    <t>Ֆաքս Panasonic</t>
  </si>
  <si>
    <t>P4 2,8 gh</t>
  </si>
  <si>
    <t>P4 2,0 gh</t>
  </si>
  <si>
    <t>Լազերային տպիչ</t>
  </si>
  <si>
    <t>Սկաներ</t>
  </si>
  <si>
    <t>Համակարգիչ Core to Duo</t>
  </si>
  <si>
    <t>Անխափան սնուցման սարք UPS</t>
  </si>
  <si>
    <t>Տպիչ,քսերոքս,սկաներ/3-ը 1-ում</t>
  </si>
  <si>
    <t>Քսերոքս Ա-3 ֆորմատ</t>
  </si>
  <si>
    <t>Տպիչ լազերային</t>
  </si>
  <si>
    <t>Անխափան սնուցման սարք</t>
  </si>
  <si>
    <t>Մկնիկ համակարգչային</t>
  </si>
  <si>
    <t>Ստեղնաշար</t>
  </si>
  <si>
    <t>Սեղան 1 տւմբանի</t>
  </si>
  <si>
    <t>Սեղան ղեկավարի</t>
  </si>
  <si>
    <t>Գրապահարան</t>
  </si>
  <si>
    <t>Բազկաթոռ ղեկավարի</t>
  </si>
  <si>
    <t xml:space="preserve">Բազկաթոռ </t>
  </si>
  <si>
    <t>Գրասեղան 1 տումբանի</t>
  </si>
  <si>
    <t>Թիկնաթոռ</t>
  </si>
  <si>
    <t>Հեռախոսային սարքեր</t>
  </si>
  <si>
    <t>Աբովյանի ՍԱՏԳ</t>
  </si>
  <si>
    <t>ք. Աբովյան Բարեկամության 2</t>
  </si>
  <si>
    <t>վկ. 1540573</t>
  </si>
  <si>
    <t>ՀՀ Կոտայքի մարզպետարանի Աբովյանի ներկայացուցչություն</t>
  </si>
  <si>
    <t>վկ. 1540574</t>
  </si>
  <si>
    <t>ՀՀ Կոտայքի մարզպետարանի Եղվարդի ներկայացուցչություն</t>
  </si>
  <si>
    <t>ք. Եղվարդ</t>
  </si>
  <si>
    <t>Եղվարդի քաղաքապետարան</t>
  </si>
  <si>
    <t>Չարենցավանի ՍԱՏԳ</t>
  </si>
  <si>
    <t>ք.Չարենցավան</t>
  </si>
  <si>
    <t>ՀՀ աշխատանքի և սոց. հարցերի նախարարություն</t>
  </si>
  <si>
    <t>Եղվարդի ՍԱՏԳ</t>
  </si>
  <si>
    <t>ՀՀ Կոտայքի մարզպետարան</t>
  </si>
  <si>
    <t>ք. Հրազդան Կենտրոն թաղամաս</t>
  </si>
  <si>
    <t>պայմանագիր Վ02</t>
  </si>
  <si>
    <t>Հրազդանի քաղաքապետարան</t>
  </si>
  <si>
    <t>Հրազդանի ՍԱՏԳ</t>
  </si>
  <si>
    <t xml:space="preserve">Ղեկավարություն </t>
  </si>
  <si>
    <t>Մարզպետ</t>
  </si>
  <si>
    <t>Մարզպետի տեղակալ</t>
  </si>
  <si>
    <t>Մարզպետ օգնական</t>
  </si>
  <si>
    <t>Մարզպետ խորհրդական</t>
  </si>
  <si>
    <t>աշխատակազմի ղեկավար</t>
  </si>
  <si>
    <t>աշխ. ղեկավարի տեղակալ</t>
  </si>
  <si>
    <t xml:space="preserve">Կառուցվածքային ստորաբաժանումներ </t>
  </si>
  <si>
    <t>Ֆինանսական և սոցիալ-տնտեսական զարգացման</t>
  </si>
  <si>
    <t>Քաղաքաշինության</t>
  </si>
  <si>
    <t>Գյուղատնտեսության և բնապահպանության</t>
  </si>
  <si>
    <t>Կրթության, մշակույթի և սպորտի</t>
  </si>
  <si>
    <t>Առողջապահության և սոցիալական ապահովության</t>
  </si>
  <si>
    <t>Տեղական ինքնակառավարման և հանրապետական գործադիր մարմինների հարցերով</t>
  </si>
  <si>
    <t>Իրավաբանական</t>
  </si>
  <si>
    <t xml:space="preserve">Զարգացման ծրագրերի և վերլուծության </t>
  </si>
  <si>
    <t>Հողաշինության և հողօգտագործման</t>
  </si>
  <si>
    <t>Ընտանիքի, կանանց և երեխաների իրավունքների պաշտպանության</t>
  </si>
  <si>
    <t>Անձնակազմի կառավարման</t>
  </si>
  <si>
    <t>Տեղեկատվության և հասարակության հետ կապերի</t>
  </si>
  <si>
    <t>Ներքին աուդիտի</t>
  </si>
  <si>
    <t>Զորահավաքային նախապատրաստության բաժին</t>
  </si>
  <si>
    <t>Առանձնացված ստորաբաժանումներ</t>
  </si>
  <si>
    <t>Եղվարդի ՍԾՏԳ</t>
  </si>
  <si>
    <t>Պետրոսյան Ռոմանոս</t>
  </si>
  <si>
    <t>Ավետիսյան Առնակ</t>
  </si>
  <si>
    <t>Վարդանյան Վասակ</t>
  </si>
  <si>
    <t>Բարսեղյան Արտավազդ</t>
  </si>
  <si>
    <t>Առուստամյան Գևորգ</t>
  </si>
  <si>
    <t>Չիլինգարյան Անի</t>
  </si>
  <si>
    <t>Հակոբյան Մարիամ</t>
  </si>
  <si>
    <t>Միքայելյան Սաթենիկ</t>
  </si>
  <si>
    <t>մարզպետի օգնական</t>
  </si>
  <si>
    <t>մարզպետի տեղակալի օգնական</t>
  </si>
  <si>
    <t>Պետրոսյան Լևոն</t>
  </si>
  <si>
    <t>4 տ 7 ա 0 օր, 01.12.2015</t>
  </si>
  <si>
    <t>Ֆինանսական և սոցիալ-տնտեսական զարգացման վարչություն</t>
  </si>
  <si>
    <t>Գուլյան Գրիգոր</t>
  </si>
  <si>
    <t>բաժնի պետ</t>
  </si>
  <si>
    <t>Թափուր</t>
  </si>
  <si>
    <t>աշխատակազմի ղեկավարի տեղակալ</t>
  </si>
  <si>
    <t>Հաշվապահական հաշվառման բաժին</t>
  </si>
  <si>
    <t>Պետրոսյան Մանվել</t>
  </si>
  <si>
    <t>66-2.2-18</t>
  </si>
  <si>
    <t>9 տ 6 ա 2 օր, 30.12.2009</t>
  </si>
  <si>
    <t>10 տ 6 ա 1 օր, 30.12.2009</t>
  </si>
  <si>
    <t>11 տ 6 ա 1 օր, 30.12.2009</t>
  </si>
  <si>
    <t>Ստեփանյան Համլետ</t>
  </si>
  <si>
    <t>առաջատար մասնագետ</t>
  </si>
  <si>
    <t>66-3.2-23</t>
  </si>
  <si>
    <t>19 տ 11 ա 23 օր, 08.07.1999</t>
  </si>
  <si>
    <t>20 տ 11 ա 23 օր, 08.07.1999</t>
  </si>
  <si>
    <t>21 տ 11 ա 23 օր, 08.07.1999</t>
  </si>
  <si>
    <t>Հակոբյան Կարինե</t>
  </si>
  <si>
    <t>առաջին կարգի մասնագետ</t>
  </si>
  <si>
    <t>66-4.1-35</t>
  </si>
  <si>
    <t>19 տ 8 ա 0 օր, 01.11.1999</t>
  </si>
  <si>
    <t>20 տ 8 ա 0 օր, 01.11.1999</t>
  </si>
  <si>
    <t>21 տ 8 ա 0 օր, 01.11.1999</t>
  </si>
  <si>
    <t>Ֆինանսատնտեսագիտական բաժին</t>
  </si>
  <si>
    <t>Բաղդասարյան Սեդա</t>
  </si>
  <si>
    <t>66-2.2-19</t>
  </si>
  <si>
    <t>6 տ 7 ա 11 օր, 21.11.2012</t>
  </si>
  <si>
    <t>7 տ 7 ա 10 օր, 21.11.2012</t>
  </si>
  <si>
    <t>8 տ 7 ա 10 օր, 21.11.2012</t>
  </si>
  <si>
    <t>Մաթևոսյան Թերեզա</t>
  </si>
  <si>
    <t>66-3.2-24</t>
  </si>
  <si>
    <t>6 տ 1 ա 14 օր, 18.05.2013</t>
  </si>
  <si>
    <t>7 տ 1 ա 13 օր, 18.05.2013</t>
  </si>
  <si>
    <t>8տ 1 ա 13 օր, 18.05.2013</t>
  </si>
  <si>
    <t>Ալեքսանյան Անահիտ</t>
  </si>
  <si>
    <t>66-4.1-36</t>
  </si>
  <si>
    <t>16 տ 7 ա 4 օր, 28.11.2002</t>
  </si>
  <si>
    <t>15 տ 7 ա 4 օր, 28.11.2002</t>
  </si>
  <si>
    <t>17 տ 7 ա 3 օր, 28.11.2002</t>
  </si>
  <si>
    <t>18 տ 7 ա 3 օր, 28.11.2002</t>
  </si>
  <si>
    <t>66-4.1-37</t>
  </si>
  <si>
    <t>5 տ 2 ա 18 օր, 14.04.2014</t>
  </si>
  <si>
    <t>6 տ 2 ա 17 օր, 14.04.2014</t>
  </si>
  <si>
    <t>7 տ 2 ա 17 օր, 14.04.2014</t>
  </si>
  <si>
    <t>Քաղաքաշինության վարչություն</t>
  </si>
  <si>
    <t>Գևորգյան Տարոն</t>
  </si>
  <si>
    <t>վարչության պետ</t>
  </si>
  <si>
    <t>66-2.1-2</t>
  </si>
  <si>
    <t>3 տ 3 ա 7 օր, 25.03.2016</t>
  </si>
  <si>
    <t>5 տ 3 ա 6 օր, 25.03.2016</t>
  </si>
  <si>
    <t>Եղիշյան Ալեքսան</t>
  </si>
  <si>
    <t>վարչության պետի տեղակալ</t>
  </si>
  <si>
    <t>66-2.2-34</t>
  </si>
  <si>
    <t>5 տ 1 ա 25 օր, 07.05.2014</t>
  </si>
  <si>
    <t>6 տ 1 ա 24 օր, 07.05.2014</t>
  </si>
  <si>
    <t>7 տ 1 ա 24 օր, 07.05.2014</t>
  </si>
  <si>
    <t>Քալանթարյան Վարդան</t>
  </si>
  <si>
    <t>գլխավոր մասնագետ</t>
  </si>
  <si>
    <t>66-2.3-29</t>
  </si>
  <si>
    <t>5 տ 1 ա 24 օր, 08.05.2014</t>
  </si>
  <si>
    <t>6 տ 1 ա 23 օր, 08.05.2014</t>
  </si>
  <si>
    <t>7 տ 1 ա 23 օր, 08.05.2014</t>
  </si>
  <si>
    <t>Ճարտարապետաշինարարական բաժին</t>
  </si>
  <si>
    <t>Վիրաբյան Արամ</t>
  </si>
  <si>
    <t>66-2.2-20</t>
  </si>
  <si>
    <t>5 տ 1 ա 6 օր, 25.05.2015</t>
  </si>
  <si>
    <t>6 տ 1 ա 6 օր, 25.05.2015</t>
  </si>
  <si>
    <t>Բունիաթյան Կամո</t>
  </si>
  <si>
    <t>66-2.3-20</t>
  </si>
  <si>
    <t>4 տ 1 ա 3 օր, 29.05.2015</t>
  </si>
  <si>
    <t>5 տ 1 ա 2 օր, 29.05.2015</t>
  </si>
  <si>
    <t>6 տ 1 ա 2 օր, 29.05.2015</t>
  </si>
  <si>
    <t>Հակոբյան Արթուր</t>
  </si>
  <si>
    <t>66-3.2-25</t>
  </si>
  <si>
    <t>4 տ 3 ա 0 օր, 01.04.2016</t>
  </si>
  <si>
    <t>5 տ 3 ա 0 օր, 01.04.2016</t>
  </si>
  <si>
    <t>Բնակարանային և ենթակառուցվածքների գործունեության բաժին</t>
  </si>
  <si>
    <t>ԹԱՓՈՒՐ</t>
  </si>
  <si>
    <t>66-2.2-21</t>
  </si>
  <si>
    <t>Մելքոնյան Զվարթ</t>
  </si>
  <si>
    <t>66-3.2-26</t>
  </si>
  <si>
    <t>Ղուշչյան Սոս</t>
  </si>
  <si>
    <t>66-3.2-37</t>
  </si>
  <si>
    <t>3 տ 1 ա 2 օր, 30.05.2016</t>
  </si>
  <si>
    <t>4 տ 9 ա 16 օր, 15.09.2015</t>
  </si>
  <si>
    <t>5 տ 9 ա 16 օր, 15.09.2015</t>
  </si>
  <si>
    <t>Գյուղատնտեսության և բնապահպանության վարչություն</t>
  </si>
  <si>
    <t>Եղիազարյան Մհեր</t>
  </si>
  <si>
    <t>66-2.1-3</t>
  </si>
  <si>
    <t>19 տ 6 ա 9 օր, 23.12.1999</t>
  </si>
  <si>
    <t>20 տ 6 ա 8 օր, 23.12.1999</t>
  </si>
  <si>
    <t>21 տ 6 ա 8 օր, 23.12.1999</t>
  </si>
  <si>
    <t>Թումոյան Կամո</t>
  </si>
  <si>
    <t>66-2.2-35</t>
  </si>
  <si>
    <t>Բաբախանյան Էդիկ</t>
  </si>
  <si>
    <t>66-3.2-34</t>
  </si>
  <si>
    <t>17 տ 4 ա 1 օր, 28.11.2002</t>
  </si>
  <si>
    <t>18 տ 4 ա 1 օր, 28.11.2002</t>
  </si>
  <si>
    <t>Գյուղատնտեսության բաժին</t>
  </si>
  <si>
    <t>Ասատրյան Անդրանիկ</t>
  </si>
  <si>
    <t>66-2.2-23</t>
  </si>
  <si>
    <t>Մարտիրոսյան Ռուզան</t>
  </si>
  <si>
    <t>66-2.3-21</t>
  </si>
  <si>
    <t>17 տ 11 ա 24 օր, 07.07.2000</t>
  </si>
  <si>
    <t>19 տ 11 ա 24 օր, 07.07.2000</t>
  </si>
  <si>
    <t>20 տ 11 ա 24 օր, 07.07.2000</t>
  </si>
  <si>
    <t>Մկրտչյան Աիդա</t>
  </si>
  <si>
    <t>66-4.1-40</t>
  </si>
  <si>
    <t xml:space="preserve">Կրթության, մշակույթի և սպորտի վարչություն </t>
  </si>
  <si>
    <t>66-2.1-4</t>
  </si>
  <si>
    <t>Կրթության բաժին</t>
  </si>
  <si>
    <t>Հունանյան Կարեն</t>
  </si>
  <si>
    <t>66-2.2-24</t>
  </si>
  <si>
    <t>Մակարյան Հասմիկ</t>
  </si>
  <si>
    <t>66-2.3-22</t>
  </si>
  <si>
    <t>15 տ 1 ա 19 օր, 12.05.2004</t>
  </si>
  <si>
    <t>16 տ 1 ա 19 օր, 12.05.2004</t>
  </si>
  <si>
    <t>17 տ 1 ա 19 օր, 12.05.2004</t>
  </si>
  <si>
    <t>Հախվերդյան Տաթևիկ</t>
  </si>
  <si>
    <t>66-3.2-28</t>
  </si>
  <si>
    <t>12 տ 11 ա 5 օր, 26.07.2006</t>
  </si>
  <si>
    <t>13 տ 11 ա 5 օր, 26.07.2006</t>
  </si>
  <si>
    <t>14 տ 11 ա 5 օր, 26.07.2006</t>
  </si>
  <si>
    <t>66-3.2-29</t>
  </si>
  <si>
    <t>Եգանյան Գայանե</t>
  </si>
  <si>
    <t>66-4.1-41</t>
  </si>
  <si>
    <t>Մշակույթի և սպորտի բաժին</t>
  </si>
  <si>
    <t>Սիմոնյան Արա</t>
  </si>
  <si>
    <t>66-2.2-25</t>
  </si>
  <si>
    <t>13 տ 2 ա 24 օր, 07.04.2006</t>
  </si>
  <si>
    <t>14 տ 2 ա 24 օր, 07.04.2006</t>
  </si>
  <si>
    <t>15 տ 2 ա 24 օր, 07.04.2006</t>
  </si>
  <si>
    <t>Պետրոսյան Մինաս</t>
  </si>
  <si>
    <t>66-2.3-23</t>
  </si>
  <si>
    <t>15 տ 11 ա 10 օր, 21.07.2003</t>
  </si>
  <si>
    <t>16 տ 11 ա 10 օր, 21.07.2003</t>
  </si>
  <si>
    <t>17 տ 11 ա 10 օր, 21.07.2003</t>
  </si>
  <si>
    <t>66-4.1-8</t>
  </si>
  <si>
    <t>Առողջապահության և սոցիալական ապահովության վարչություն</t>
  </si>
  <si>
    <t>Ոսկանյան Վահագն</t>
  </si>
  <si>
    <t>66-2.1-5</t>
  </si>
  <si>
    <t>4 տ 2 ա 19 օր, 13.04.2015</t>
  </si>
  <si>
    <t>5 տ 2 ա 18 օր, 13.04.2015</t>
  </si>
  <si>
    <t>6 տ 2 ա 18 օր, 13.04.2015</t>
  </si>
  <si>
    <t>Առաքելյան Ստելլա</t>
  </si>
  <si>
    <t>66-2.3-31</t>
  </si>
  <si>
    <t>4 տ 7 ա 15 օր, 17.11.2014</t>
  </si>
  <si>
    <t>5 տ 7 ա 14 օր, 17.11.2014</t>
  </si>
  <si>
    <t>6 տ 7 ա 14 օր, 17.11.2014</t>
  </si>
  <si>
    <t>Լյուլինա Ելենա</t>
  </si>
  <si>
    <t>66-2.3-32</t>
  </si>
  <si>
    <t>4 տ 10 ա 10 օր, 22.08.2014</t>
  </si>
  <si>
    <t>5 տ 10 ա 9 օր, 22.08.2014</t>
  </si>
  <si>
    <t>6 տ 10 ա 9 օր, 22.08.2014</t>
  </si>
  <si>
    <t>Սոցիալական ապահովության բաժին</t>
  </si>
  <si>
    <t>66-2.2-8</t>
  </si>
  <si>
    <t>Հովսեփյան Կարեն</t>
  </si>
  <si>
    <t>66-3.2-12</t>
  </si>
  <si>
    <t>14 տ 7 ա 20 օր, 12.11.2004</t>
  </si>
  <si>
    <t>15 տ 7 ա 19 օր, 12.11.2004</t>
  </si>
  <si>
    <t>16 տ 7 ա 19 օր, 12.11.2004</t>
  </si>
  <si>
    <t>Հարությունյան Կարինե</t>
  </si>
  <si>
    <t>66-4.1-9</t>
  </si>
  <si>
    <t>23 տ 1 ա 26 օր, 05.05.1996</t>
  </si>
  <si>
    <t>24 տ 1 ա 26 օր, 05.05.1996</t>
  </si>
  <si>
    <t>25 տ 1 ա 26 օր, 05.05.1996</t>
  </si>
  <si>
    <t>Տեղական ինքնակառավարման և հանրապետական գործադիր մարմինների հարցերով վարչություն</t>
  </si>
  <si>
    <t>Ալեքսանյան Հարություն</t>
  </si>
  <si>
    <t>66-2.1-8</t>
  </si>
  <si>
    <t>3 տ 9 ա 21 օր, 11.09.2015</t>
  </si>
  <si>
    <t>4 տ 9 ա 20 օր, 11.09.2015</t>
  </si>
  <si>
    <t>5 տ 9 ա 20 օր, 11.09.2015</t>
  </si>
  <si>
    <t>Տեղական ինքնակառավարման և համայնքային ծառայության հարցերի բաժին</t>
  </si>
  <si>
    <t>Թովմասյան Վաչագան</t>
  </si>
  <si>
    <t>66-2.2-27</t>
  </si>
  <si>
    <t>Սահակյան Սամվել</t>
  </si>
  <si>
    <t>66-2.3-26</t>
  </si>
  <si>
    <t>11 տ 0 ա 0 օր, 01.07.2008</t>
  </si>
  <si>
    <t>12 տ 0 ա 0 օր, 01.07.2008</t>
  </si>
  <si>
    <t>13 տ 0 ա 0 օր, 01.07.2008</t>
  </si>
  <si>
    <t>Թումոյան Ռոբերտ</t>
  </si>
  <si>
    <t>66-3.2-31</t>
  </si>
  <si>
    <t>11 տ 8 ա 3 օր, 29.10.2007</t>
  </si>
  <si>
    <t>12 տ 8 ա 2 օր, 29.10.2007</t>
  </si>
  <si>
    <t>13 տ 8 ա 2 օր, 29.10.2007</t>
  </si>
  <si>
    <t>Հանրապետական գործադիր մարմինների տարածքային ստորաբաժանումների գործունեության համակարգման բաժին</t>
  </si>
  <si>
    <t>Հակոբյան Արմեն</t>
  </si>
  <si>
    <t>66-2.2-28</t>
  </si>
  <si>
    <t>Մկրտչյան Սուսաննա</t>
  </si>
  <si>
    <t>66-3.2-32</t>
  </si>
  <si>
    <t>10 տ 8 ա 24 օր, 07.10.2008</t>
  </si>
  <si>
    <t>11 տ 8 ա 24 օր, 07.10.2008</t>
  </si>
  <si>
    <t>12 տ 8 ա 24 օր, 07.10.2008</t>
  </si>
  <si>
    <t>Թովմասյան Ռիմա</t>
  </si>
  <si>
    <t>66-4.1-42</t>
  </si>
  <si>
    <t>10 տ 2 ա 14 օր, 18.04.2009</t>
  </si>
  <si>
    <t>10 տ 2 ա 13 օր, 18.04.2009</t>
  </si>
  <si>
    <t>Հակոբյան Ռազմիկ</t>
  </si>
  <si>
    <t>պետ</t>
  </si>
  <si>
    <t>66-2.1-7</t>
  </si>
  <si>
    <t>1 տ 10 ա 29 օր, 03.08.2017</t>
  </si>
  <si>
    <t>2 տ 7 ա 3 օր, 28.11.2002</t>
  </si>
  <si>
    <t>3 տ 7 ա 3 օր, 28.11.2002</t>
  </si>
  <si>
    <t>Ընդհանուր բաժին</t>
  </si>
  <si>
    <t>Մկրտչյան Իրինա</t>
  </si>
  <si>
    <t>66-2.2-29</t>
  </si>
  <si>
    <t>Ասատրյան Մարիամ</t>
  </si>
  <si>
    <t>66-2.3-27</t>
  </si>
  <si>
    <t>10 տ 10 ա 9 օր, 22.08.2008</t>
  </si>
  <si>
    <t>11 տ 10 ա 9 օր, 22.08.2008</t>
  </si>
  <si>
    <t>12 տ 10 ա 9 օր, 22.08.2008</t>
  </si>
  <si>
    <t>Հովհաննիսյան Նարինե</t>
  </si>
  <si>
    <t>66-4.1-43</t>
  </si>
  <si>
    <t>9 տ 2 ա 22 օր, 09.04.2010</t>
  </si>
  <si>
    <t>10 տ 2 ա 22 օր, 09.04.2010</t>
  </si>
  <si>
    <t>11 տ 2 ա 22 օր, 09.04.2010</t>
  </si>
  <si>
    <t>Վարչատնտեսական բաժին</t>
  </si>
  <si>
    <t>Պողոսյան Մարտուն</t>
  </si>
  <si>
    <t>66.2.2-30</t>
  </si>
  <si>
    <t>23 տ 3 ա 0 օր, 01.04.1996</t>
  </si>
  <si>
    <t>24 տ 3 ա 0 օր, 01.04.1996</t>
  </si>
  <si>
    <t>25 տ 3 ա 0 օր, 01.04.1996</t>
  </si>
  <si>
    <t>Հակոբյան Հասմիկ</t>
  </si>
  <si>
    <t>66-2.3-28</t>
  </si>
  <si>
    <t>66-3.2-33</t>
  </si>
  <si>
    <t>1 տ 2 ա 26 օր, 04.04.2018</t>
  </si>
  <si>
    <t>Իրավաբանական բաժին</t>
  </si>
  <si>
    <t>Վարդանյան Արմեն</t>
  </si>
  <si>
    <t>66-2.2-31</t>
  </si>
  <si>
    <t>3 տ 11 ա 16 օր, 16.07.2015</t>
  </si>
  <si>
    <t>4 տ 11 ա 15 օր, 16.07.2015</t>
  </si>
  <si>
    <t>5 տ 11 ա 15 օր, 16.07.2015</t>
  </si>
  <si>
    <t>Գևորգյան Էմմա</t>
  </si>
  <si>
    <t>66-3.1-7</t>
  </si>
  <si>
    <t xml:space="preserve">Զարգացման ծրագրերի, զբոսաշրջության և վերլուծության բաժին </t>
  </si>
  <si>
    <t>Մարգարյան Նաիրա</t>
  </si>
  <si>
    <t>66.2.2-38</t>
  </si>
  <si>
    <t>8 տ 9 ա 21 օր, 10.09.2010</t>
  </si>
  <si>
    <t>9 տ 9 ա 21 օր, 10.09.2010</t>
  </si>
  <si>
    <t>10 տ 9 ա 21 օր, 10.09.2010</t>
  </si>
  <si>
    <t>Ալավերդյան Լիլիթ</t>
  </si>
  <si>
    <t>66-3.1-18</t>
  </si>
  <si>
    <t>1 տ 3 ա 29 օր, 02.03.2018</t>
  </si>
  <si>
    <t>4 տ 4 ա 27 օր, 04.02.2016</t>
  </si>
  <si>
    <t>Հողաշինության և հողօգտագործման բաժին-մարզային հողային պետական տեսչություն</t>
  </si>
  <si>
    <t>Ավետիսյան Գուրգեն</t>
  </si>
  <si>
    <t>66-2.2-12</t>
  </si>
  <si>
    <t xml:space="preserve">4 տ 3 ա 15 օր, 17.03.2015 </t>
  </si>
  <si>
    <t xml:space="preserve">6 տ 3 ա 14 օր, 17.03.2015 </t>
  </si>
  <si>
    <t xml:space="preserve">7 տ 3 ա 14 օր, 17.03.2015 </t>
  </si>
  <si>
    <t>Ավետիսյան Եղիշե</t>
  </si>
  <si>
    <t>66-3.1-1</t>
  </si>
  <si>
    <t xml:space="preserve">11 տ 11 ա 1 օր, 30.07.2007 </t>
  </si>
  <si>
    <t xml:space="preserve">12 տ 11 ա 1 օր, 30.07.2007 </t>
  </si>
  <si>
    <t xml:space="preserve">13 տ 11 ա 1 օր, 30.07.2007 </t>
  </si>
  <si>
    <t>66-3.3-2</t>
  </si>
  <si>
    <t>Առաքելյան Սաթիկ</t>
  </si>
  <si>
    <t>66-4.2-2</t>
  </si>
  <si>
    <t>Ընտանիքի, կանանց և երեխաների իրավունքների պաշտպանության բաժին</t>
  </si>
  <si>
    <t>Պետրոսյան Արտյուշ</t>
  </si>
  <si>
    <t>66-2.2-33</t>
  </si>
  <si>
    <t>12 տ 11 ա 10 օր, 21.07.2006</t>
  </si>
  <si>
    <t>13 տ 11 ա 10 օր, 21.07.2006</t>
  </si>
  <si>
    <t>14 տ 11 ա 10 օր, 21.07.2006</t>
  </si>
  <si>
    <t>Արտաշյան Շավարշ</t>
  </si>
  <si>
    <t>66-3.1-8</t>
  </si>
  <si>
    <t>12 տ 11 ա 11 օր, 20.07.2006</t>
  </si>
  <si>
    <t>13 տ 11 ա 11 օր, 20.07.2006</t>
  </si>
  <si>
    <t>14 տ 11 ա 11 օր, 20.07.2006</t>
  </si>
  <si>
    <t>Սաֆարյան Հռիփսիմե</t>
  </si>
  <si>
    <t>66-3.1-9</t>
  </si>
  <si>
    <t>5տ 2 ա 18 օր, 14.04.2014</t>
  </si>
  <si>
    <t>Սերգոյան Լուսինե</t>
  </si>
  <si>
    <t>66-3.1-10</t>
  </si>
  <si>
    <t>12 տ 8 ա 22 օր, 09.10.2006</t>
  </si>
  <si>
    <t>13 տ 8 ա 22 օր, 09.10.2006</t>
  </si>
  <si>
    <t>14 տ 8 ա 22 օր, 09.10.2006</t>
  </si>
  <si>
    <t>Հալաբյան Համլետինա</t>
  </si>
  <si>
    <t>66-3.1-11</t>
  </si>
  <si>
    <t>8 տ 5 ա 13 օր 19.01.2011</t>
  </si>
  <si>
    <t>9 տ 5 ա 12 օր 19.01.2011</t>
  </si>
  <si>
    <t>10 տ 5 ա 12 օր 19.01.2011</t>
  </si>
  <si>
    <t xml:space="preserve">Խչոյան Նարինե </t>
  </si>
  <si>
    <t>66-3.1-12</t>
  </si>
  <si>
    <t>8 տ 1 ա 13 օր, 18.05.2013</t>
  </si>
  <si>
    <t>Անձնակազմի կառավարման բաժին</t>
  </si>
  <si>
    <t>Նազլոյան Վահագն</t>
  </si>
  <si>
    <t>66-2.2-14</t>
  </si>
  <si>
    <t>10 տ 6 ա 14 օր, 18.12.2008</t>
  </si>
  <si>
    <t>11 տ 6 ա 13 օր, 18.12.2008</t>
  </si>
  <si>
    <t>12 տ 6 ա 13 օր, 18.12.2008</t>
  </si>
  <si>
    <t>Բաբախանյան Անահիտ</t>
  </si>
  <si>
    <t>66-3.1-6</t>
  </si>
  <si>
    <t>23 տ 2 ա 12 օր, 19.04.1996</t>
  </si>
  <si>
    <t>24 տ 2 ա 12 օր, 19.04.1996</t>
  </si>
  <si>
    <t>25 տ 2 ա 12 օր, 19.04.1996</t>
  </si>
  <si>
    <t>Գրիգորյան Ռուզաննա</t>
  </si>
  <si>
    <t>66-3.3-5</t>
  </si>
  <si>
    <t>11 տ 3 ա 18 օր, 14.03.2008</t>
  </si>
  <si>
    <t>12 տ 3 ա 17 օր, 14.03.2008</t>
  </si>
  <si>
    <t>13 տ 3 ա 17 օր, 14.03.2008</t>
  </si>
  <si>
    <t>Տեղեկատվության և հասարակության հետ կապերի բաժին</t>
  </si>
  <si>
    <t>66-2.2-16</t>
  </si>
  <si>
    <t>Ասատրյան Ստեփան</t>
  </si>
  <si>
    <t>66-3.1-13</t>
  </si>
  <si>
    <t>4 տ 2 ա 2 օր, 30.04.2015</t>
  </si>
  <si>
    <t>5 տ 2 ա 1 օր, 30.04.2015</t>
  </si>
  <si>
    <t>6 տ 2 ա 1 օր, 30.04.2015</t>
  </si>
  <si>
    <t>Գալստյան Մայրանուշ</t>
  </si>
  <si>
    <t>66-3.3-6</t>
  </si>
  <si>
    <t>10 տ 11 ա 0 օր, 31.07.2008</t>
  </si>
  <si>
    <t>11 տ 11 ա 0 օր, 31.07.2008</t>
  </si>
  <si>
    <t>12 տ 11 ա 0 օր, 31.07.2008</t>
  </si>
  <si>
    <t>Մկրտչյան Գագիկ</t>
  </si>
  <si>
    <t>66-4.2-6</t>
  </si>
  <si>
    <t>9 տ 2 ա 16 օր, 15.04.2010</t>
  </si>
  <si>
    <t>10 տ 2 ա 16 օր, 15.04.2010</t>
  </si>
  <si>
    <t>11 տ 2 ա 16 օր, 15.04.2010</t>
  </si>
  <si>
    <t>Ներքին աուդիտի բաժին</t>
  </si>
  <si>
    <t>Հունանյան Կոմիտաս</t>
  </si>
  <si>
    <t>66-2.2-36</t>
  </si>
  <si>
    <t>20 տ 3 ա 21 օր, 11.03.1999</t>
  </si>
  <si>
    <t>21 տ 3 ա 20 օր, 11.03.1999</t>
  </si>
  <si>
    <t>22 տ 3 ա 20 օր, 11.03.1999</t>
  </si>
  <si>
    <t>Ստեփանյան Անահիտ</t>
  </si>
  <si>
    <t>66-3.1-14</t>
  </si>
  <si>
    <t>5 տ 5 ա 9 օր, 23.01.2014</t>
  </si>
  <si>
    <t>6 տ 5 ա 8 օր, 23.01.2014</t>
  </si>
  <si>
    <t>7 տ 5 ա 8 օր, 23.01.2014</t>
  </si>
  <si>
    <t>Առաքելյան Արգամ</t>
  </si>
  <si>
    <t>66-3.1-15</t>
  </si>
  <si>
    <t>1 տ 4 ա 11 օր, 19.02.2018</t>
  </si>
  <si>
    <t>4 տ 11 ա 7 օր, 24.07.2015</t>
  </si>
  <si>
    <t>Գրիգորյան Արամ</t>
  </si>
  <si>
    <t>66-3.1-16</t>
  </si>
  <si>
    <t>Մովսիսյան Հայկ</t>
  </si>
  <si>
    <t>66-2.2-37</t>
  </si>
  <si>
    <t>3 տ 3 ա 3 օր, 29.03.2016</t>
  </si>
  <si>
    <t>4 տ 3 ա 2 օր, 29.03.2016</t>
  </si>
  <si>
    <t>5 տ 3 ա 2 օր, 29.03.2016</t>
  </si>
  <si>
    <t>66-3.1-17</t>
  </si>
  <si>
    <t>4 տ 1 ա 13 օր, 19.05.2015</t>
  </si>
  <si>
    <t>6 տ 1 ա 12 օր, 19.05.2015</t>
  </si>
  <si>
    <t>Աբովյանի սոցիալական աջակցության տարածքային գործակալություն</t>
  </si>
  <si>
    <t>66-2.3-33</t>
  </si>
  <si>
    <t>66-3.2-38</t>
  </si>
  <si>
    <t>Կարապետյան Կարինե</t>
  </si>
  <si>
    <t>66-4.1-44</t>
  </si>
  <si>
    <t>18 տ 0 ա 18 օր, 13.06.2001</t>
  </si>
  <si>
    <t>19 տ 0 ա 18 օր, 13.06.2001</t>
  </si>
  <si>
    <t>20 տ 0 ա 18 օր, 13.06.2001</t>
  </si>
  <si>
    <t>Սիմոնյան Վարդանուշ</t>
  </si>
  <si>
    <t>66-4.1-45</t>
  </si>
  <si>
    <t>14 տ 7 ա 14 օր, 18.11.2004</t>
  </si>
  <si>
    <t>15 տ 7 ա 13 օր, 18.11.2004</t>
  </si>
  <si>
    <t>16 տ 7 ա 13 օր, 18.11.2004</t>
  </si>
  <si>
    <t>66-4.1-46</t>
  </si>
  <si>
    <t>66-4.1-47</t>
  </si>
  <si>
    <t>66-4.1-48</t>
  </si>
  <si>
    <t xml:space="preserve">24 տ 7 ա 16 օր, 15.11.1996 </t>
  </si>
  <si>
    <t>66-4.1-49</t>
  </si>
  <si>
    <t>Ալոյան Սոս</t>
  </si>
  <si>
    <t>66-4.1-50</t>
  </si>
  <si>
    <t>20 տ 2 ա 0 օր, 01.05.1999</t>
  </si>
  <si>
    <t>21 տ 2 ա 0 օր, 01.05.1999</t>
  </si>
  <si>
    <t>22 տ 2 ա 0 օր, 01.05.1999</t>
  </si>
  <si>
    <t>66-4.1-51</t>
  </si>
  <si>
    <t>66-4.1-52</t>
  </si>
  <si>
    <t>22 տ 5 ա 6 օր, 25.01.1999</t>
  </si>
  <si>
    <t>66-4.1-53</t>
  </si>
  <si>
    <t>Մուրադյան Անահիտ</t>
  </si>
  <si>
    <t>66-4.1-54</t>
  </si>
  <si>
    <t>3 տ 4 ա 22 օր, 10.02.2016</t>
  </si>
  <si>
    <t>4 տ 4 ա 21 օր, 10.02.2016</t>
  </si>
  <si>
    <t>5 տ 4 ա 21 օր, 10.02.2016</t>
  </si>
  <si>
    <t>Հրազդանի սոցիալական աջակցության տարածքային գործակալություն</t>
  </si>
  <si>
    <t>66-2.3-34</t>
  </si>
  <si>
    <t>66-3.2-39</t>
  </si>
  <si>
    <t>7 տ 1 ա 3 օր, 29.05.2012</t>
  </si>
  <si>
    <t>8 տ 1 ա 2 օր, 29.05.2012</t>
  </si>
  <si>
    <t>9 տ 1 ա 2 օր, 29.05.2012</t>
  </si>
  <si>
    <t>Ներսիսյան Անուշ</t>
  </si>
  <si>
    <t>66-4.1-55</t>
  </si>
  <si>
    <t>8 տ 5 ա 18 օր, 14.01.2011</t>
  </si>
  <si>
    <t>9 տ 5 ա 17 օր, 14.01.2011</t>
  </si>
  <si>
    <t>10 տ 5 ա 17 օր, 14.01.2011</t>
  </si>
  <si>
    <t>66-4.1-56</t>
  </si>
  <si>
    <t>Հակոբյան Մարատ</t>
  </si>
  <si>
    <t>66-4.1-57</t>
  </si>
  <si>
    <t>25 տ 8 ա 19 օր, 12.10.1993</t>
  </si>
  <si>
    <t>26 տ 8 ա 19 օր, 12.10.1993</t>
  </si>
  <si>
    <t>27 տ 8 ա 19 օր, 12.10.1993</t>
  </si>
  <si>
    <t>Սարգսյան Հասմիկ</t>
  </si>
  <si>
    <t>66-4.1-58</t>
  </si>
  <si>
    <t>25 տ 7 ա 2 օր, 30.11.1993</t>
  </si>
  <si>
    <t>26 տ 7 ա 1 օր, 30.11.1993</t>
  </si>
  <si>
    <t>27 տ 7 ա 1 օր, 30.11.1993</t>
  </si>
  <si>
    <t>Եգանյան Կարինա</t>
  </si>
  <si>
    <t>66-4.1-59</t>
  </si>
  <si>
    <t>Գրիգորյան Մեդորա</t>
  </si>
  <si>
    <t>66-4.1-60</t>
  </si>
  <si>
    <t>Խաչատրյան Նաիրա</t>
  </si>
  <si>
    <t>66-4.1-61</t>
  </si>
  <si>
    <r>
      <t xml:space="preserve">Նահապետյան Արմենուհի        </t>
    </r>
    <r>
      <rPr>
        <i/>
        <sz val="8"/>
        <color indexed="17"/>
        <rFont val="GHEA Mariam"/>
        <family val="3"/>
      </rPr>
      <t>(Հունանյան Տաթևիկ - ԺԱՊ)</t>
    </r>
  </si>
  <si>
    <t>66-4.1-62</t>
  </si>
  <si>
    <t>3 տ 4 ա 22 օր, 10.02.2016               (0 տ 8 ա 8 օր, 24.10.2017)</t>
  </si>
  <si>
    <t>Չարենցավանի սոցիալական աջակցության տարածքային գործակալություն</t>
  </si>
  <si>
    <t>Կարապետյան Նորայր</t>
  </si>
  <si>
    <t>66-2.3-35</t>
  </si>
  <si>
    <t>22 տ 5 ա 16 օր, 16.01.1997</t>
  </si>
  <si>
    <t>23 տ 5 ա 15 օր, 16.01.1997</t>
  </si>
  <si>
    <t>24 տ 5 ա 15 օր, 16.01.1997</t>
  </si>
  <si>
    <t>Ափյան Անժելա</t>
  </si>
  <si>
    <t>66-3.2-40</t>
  </si>
  <si>
    <t>Ազիզյան Լուսինե</t>
  </si>
  <si>
    <t>66-4.1-63</t>
  </si>
  <si>
    <t>22 տ 6 ա 30 օր, 02.12.1996</t>
  </si>
  <si>
    <t>23 տ 6 ա 29 օր, 02.12.1996</t>
  </si>
  <si>
    <t>24 տ 6 ա 29 օր, 02.12.1996</t>
  </si>
  <si>
    <t>66-4.1-64</t>
  </si>
  <si>
    <t>Սրմաքաշյան Հմայակ</t>
  </si>
  <si>
    <t>66-4.1-65</t>
  </si>
  <si>
    <t>Կարապետյան Գայանե</t>
  </si>
  <si>
    <t>66-4.1-66</t>
  </si>
  <si>
    <t>Խաչատրյան Մարինե</t>
  </si>
  <si>
    <t>66-4.1-67</t>
  </si>
  <si>
    <t>Եղվարդի սոցիալական աջակցության տարածքային գործակալություն</t>
  </si>
  <si>
    <t>Գևորգյան Լավրենտի</t>
  </si>
  <si>
    <t>66-2.3-36</t>
  </si>
  <si>
    <t>13 տ 8 ա 3 օր, 28.10.2005</t>
  </si>
  <si>
    <t>15 տ 1ամիս</t>
  </si>
  <si>
    <t>Հովսեփյան Գագիկ</t>
  </si>
  <si>
    <t>66-3.2-41</t>
  </si>
  <si>
    <t>12 տ 11  ա 5 օր, 26.07.2006</t>
  </si>
  <si>
    <t>13 տ 11  ա 5 օր, 26.07.2006</t>
  </si>
  <si>
    <t>14 տ 11  ա 5 օր, 26.07.2006</t>
  </si>
  <si>
    <t>66-4.1-68</t>
  </si>
  <si>
    <t>Մարտիրոսյան Գնել</t>
  </si>
  <si>
    <t>66-4.1-69</t>
  </si>
  <si>
    <t>20 տ 5 ա 17 օր, 15.01.1999</t>
  </si>
  <si>
    <t>21 տ 5 ա 16 օր, 15.01.1999</t>
  </si>
  <si>
    <t>22 տ 5 ա 16 օր, 15.01.1999</t>
  </si>
  <si>
    <t>Վարդանյան Համլետ</t>
  </si>
  <si>
    <t>66-4.1-70</t>
  </si>
  <si>
    <t>Մկրտչյան Լիաննա</t>
  </si>
  <si>
    <t>66-4.1-71</t>
  </si>
  <si>
    <r>
      <t xml:space="preserve">Քոչարյան Կարին                   </t>
    </r>
    <r>
      <rPr>
        <i/>
        <sz val="8"/>
        <color indexed="17"/>
        <rFont val="GHEA Mariam"/>
        <family val="3"/>
      </rPr>
      <t>(Հովհաննիսյան Նարինե - ԺԱՊ)</t>
    </r>
  </si>
  <si>
    <t>66-4.1-72</t>
  </si>
  <si>
    <r>
      <rPr>
        <i/>
        <sz val="8"/>
        <color indexed="17"/>
        <rFont val="GHEA Mariam"/>
        <family val="3"/>
      </rPr>
      <t>3 տ 4 ա 22 օր, 10.0</t>
    </r>
    <r>
      <rPr>
        <sz val="8"/>
        <color indexed="17"/>
        <rFont val="GHEA Mariam"/>
        <family val="3"/>
      </rPr>
      <t>2.2016               (1 տ 1 ա 9 օր, 22.05.2018)</t>
    </r>
  </si>
  <si>
    <t>66-4.1-73</t>
  </si>
  <si>
    <t>Սիմոնյան Նարինե</t>
  </si>
  <si>
    <t>66-4.1-74</t>
  </si>
  <si>
    <t>Ընդամենը  քաղաքացիական /պետական, հատուկ/  ծառայողներ</t>
  </si>
  <si>
    <t>Խաչատրյան Նարինե</t>
  </si>
  <si>
    <t>գործավար</t>
  </si>
  <si>
    <t>15.04.2015</t>
  </si>
  <si>
    <t>01.07.2015 (29.08.2016)</t>
  </si>
  <si>
    <t>01.07.2015</t>
  </si>
  <si>
    <t>Ավագյան Քնարիկ</t>
  </si>
  <si>
    <t>08.06.2015</t>
  </si>
  <si>
    <t>վարորդ</t>
  </si>
  <si>
    <t>08.04.2015</t>
  </si>
  <si>
    <t>07.10.2016</t>
  </si>
  <si>
    <t>27.04.2015</t>
  </si>
  <si>
    <t>հավաքարար</t>
  </si>
  <si>
    <t>20.02.1998</t>
  </si>
  <si>
    <t>Զիրոյան Սուսաննա</t>
  </si>
  <si>
    <t>Խաչատրյան Անահիտ</t>
  </si>
  <si>
    <t>28.04.2001</t>
  </si>
  <si>
    <t>Հակոբյան Գայանե</t>
  </si>
  <si>
    <t>Նիկողոսյան Ռաֆիկ</t>
  </si>
  <si>
    <t>պահակ</t>
  </si>
  <si>
    <t>04.12.2013</t>
  </si>
  <si>
    <t>20.03.2012</t>
  </si>
  <si>
    <t>Ընդամենը տեխ. սպասարկողներ</t>
  </si>
  <si>
    <t>Ընդամենը ըստ պետական կառավարման մարմնի</t>
  </si>
  <si>
    <t>թափուր</t>
  </si>
  <si>
    <t>Մկրտչյան Ռոստոմ</t>
  </si>
  <si>
    <t>4 տ 4 ա 7 օր, 25.03.2016</t>
  </si>
  <si>
    <t>2 տ    14 օր, 21.06.2018</t>
  </si>
  <si>
    <t>1 տ 10 ա 23 օր, 09.08.2018</t>
  </si>
  <si>
    <t>Հակոբյան Հայկ</t>
  </si>
  <si>
    <t>1 տ 8 ա 17 օր, 16.10.2018</t>
  </si>
  <si>
    <t>Հովակիմյան Մարինե</t>
  </si>
  <si>
    <t>1 տ 4  ա 0 օր, 01.08.2019</t>
  </si>
  <si>
    <t>Հայրիյան Ինգա- ԺԱՊ</t>
  </si>
  <si>
    <t>1 տ 4 ա 12 օր, 19.05.2015</t>
  </si>
  <si>
    <t>Մկրտչյան Ռուզաննա</t>
  </si>
  <si>
    <t xml:space="preserve">1 տ 8 ա 16 օր, 15.11.1996 </t>
  </si>
  <si>
    <t>Մամիկոնյան Ալլա</t>
  </si>
  <si>
    <t>1 տ 6 ա 8 օր, 27.07.2006</t>
  </si>
  <si>
    <t>Մարտիրոսյան Շողինե</t>
  </si>
  <si>
    <t>1 տ 4 ա 9 օր, 02.10.2013</t>
  </si>
  <si>
    <t>Գալստյան Մարինա</t>
  </si>
  <si>
    <t>Ներսիսյան Հեղինե</t>
  </si>
  <si>
    <t>14 տ 2ամիս</t>
  </si>
  <si>
    <t>Գրիգորյան Արմինե</t>
  </si>
  <si>
    <t>Պապյան Արեգ</t>
  </si>
  <si>
    <t xml:space="preserve">Ստեփանյան Անուշ                </t>
  </si>
  <si>
    <t>տ 8 ա 3 օր, 16.10.2018</t>
  </si>
  <si>
    <t xml:space="preserve"> տ 10 ա 23 օր, 28.12.2000</t>
  </si>
  <si>
    <t xml:space="preserve"> տ 4 ա 9 օր, 02.10.2013</t>
  </si>
  <si>
    <t xml:space="preserve"> տ 3 ա 24 օր, 07.3.2019</t>
  </si>
  <si>
    <t>1 տ 3 ա 24 օր, 07.3.2019</t>
  </si>
  <si>
    <t>3 տ 7 ա 0 օր, 01.12.2015</t>
  </si>
  <si>
    <t>5 տ 7 ա 0 օր, 01.12.2015</t>
  </si>
  <si>
    <t>2 տ 8 ա 3 օր, 16.10.2018</t>
  </si>
  <si>
    <t>4 տ 1 ա 25 օր, 07.05.2014</t>
  </si>
  <si>
    <t>3 տ 3 ա 0 օր, 01.04.2016</t>
  </si>
  <si>
    <t>գլխավոր քարտուղար</t>
  </si>
  <si>
    <t>12 տ 2 ա 13 օր, 18.04.2009</t>
  </si>
  <si>
    <t>3 տ 2 ա 26 օր, 04.04.2018</t>
  </si>
  <si>
    <t>3 տ 3 ա 29 օր, 02.03.2018</t>
  </si>
  <si>
    <t>3 տ 4 ա 11 օր, 19.02.2018</t>
  </si>
  <si>
    <t>2 տ 4 ա 9 օր, 02.10.2013</t>
  </si>
  <si>
    <t>2 տ 3 ա 24 օր, 07.3.2019</t>
  </si>
  <si>
    <t>6 տ 7 ա 0 օր, 01.12.2015</t>
  </si>
  <si>
    <t>2 տ 10 ա 23 օր, 08.08.2018</t>
  </si>
  <si>
    <t>3 տ 8 ա 3 օր, 16.10.2018</t>
  </si>
  <si>
    <t>3 տ 10 ա 23 օր, 08.08.2018</t>
  </si>
  <si>
    <t>12 տ 6 ա 1 օր, 30.12.2009</t>
  </si>
  <si>
    <t>22 տ 11 ա 23 օր, 08.07.1999</t>
  </si>
  <si>
    <t>22 տ 8 ա 0 օր, 01.11.1999</t>
  </si>
  <si>
    <t>9 տ 7 ա 10 օր, 21.11.2012</t>
  </si>
  <si>
    <t>9տ 1 ա 13 օր, 18.05.2013</t>
  </si>
  <si>
    <t>19 տ 7 ա 3 օր, 28.11.2002</t>
  </si>
  <si>
    <t>6 տ 3 ա 6 օր, 25.03.2016</t>
  </si>
  <si>
    <t>8 տ 1 ա 24 օր, 07.05.2014</t>
  </si>
  <si>
    <t>8 տ 1 ա 23 օր, 08.05.2014</t>
  </si>
  <si>
    <t>7 տ 1 ա 6 օր, 25.05.2015</t>
  </si>
  <si>
    <t>7 տ 1 ա 2 օր, 29.05.2015</t>
  </si>
  <si>
    <t>6 տ 3 ա 0 օր, 01.04.2016</t>
  </si>
  <si>
    <t>6 տ 9 ա 16 օր, 15.09.2015</t>
  </si>
  <si>
    <t>22 տ 6 ա 8 օր, 23.12.1999</t>
  </si>
  <si>
    <t>19 տ 4 ա 1 օր, 28.11.2002</t>
  </si>
  <si>
    <t>21 տ 11 ա 24 օր, 07.07.2000</t>
  </si>
  <si>
    <t>18 տ 1 ա 19 օր, 12.05.2004</t>
  </si>
  <si>
    <t>15 տ 11 ա 5 օր, 26.07.2006</t>
  </si>
  <si>
    <t>8 տ 2 ա 17 օր, 14.04.2014</t>
  </si>
  <si>
    <t>16 տ 2 ա 24 օր, 07.04.2006</t>
  </si>
  <si>
    <t>18 տ 11 ա 10 օր, 21.07.2003</t>
  </si>
  <si>
    <t>7 տ 2 ա 18 օր, 13.04.2015</t>
  </si>
  <si>
    <t>7 տ 7 ա 14 օր, 17.11.2014</t>
  </si>
  <si>
    <t>7 տ 10 ա 9 օր, 22.08.2014</t>
  </si>
  <si>
    <t>17 տ 7 ա 19 օր, 12.11.2004</t>
  </si>
  <si>
    <t>26 տ 1 ա 26 օր, 05.05.1996</t>
  </si>
  <si>
    <t>6 տ 9 ա 20 օր, 11.09.2015</t>
  </si>
  <si>
    <t>14 տ 0 ա 0 օր, 01.07.2008</t>
  </si>
  <si>
    <t>14 տ 8 ա 2 օր, 29.10.2007</t>
  </si>
  <si>
    <t>4 տ 7 ա 3 օր, 28.11.2002</t>
  </si>
  <si>
    <t>13 տ 10 ա 9 օր, 22.08.2008</t>
  </si>
  <si>
    <t>12 տ 2 ա 22 օր, 09.04.2010</t>
  </si>
  <si>
    <t>26 տ 3 ա 0 օր, 01.04.1996</t>
  </si>
  <si>
    <t>2 տ 7 ա 6օր, 26.05.2017</t>
  </si>
  <si>
    <t>1 տ 7 ա 6 օր, 26.05.2017</t>
  </si>
  <si>
    <t>3 տ 7 ա 6 օր, 26.05.2017</t>
  </si>
  <si>
    <t>4 տ 7 ա 6 օր, 26.05.2017</t>
  </si>
  <si>
    <t>4տ 2 ա 26 օր, 04.04.2018</t>
  </si>
  <si>
    <t>6 տ 11 ա 15 օր, 16.07.2015</t>
  </si>
  <si>
    <t>11 տ 9 ա 21 օր, 10.09.2010</t>
  </si>
  <si>
    <t>4 տ 3 ա 29 օր, 02.03.2018</t>
  </si>
  <si>
    <t xml:space="preserve">14 տ 11 ա 1 օր, 30.07.2007 </t>
  </si>
  <si>
    <t>15 տ 11 ա 10 օր, 21.07.2006</t>
  </si>
  <si>
    <t>15 տ 11 ա 11 օր, 20.07.2006</t>
  </si>
  <si>
    <t>15 տ 8 ա 22 օր, 09.10.2006</t>
  </si>
  <si>
    <t>11 տ 5 ա 12 օր 19.01.2011</t>
  </si>
  <si>
    <t>9 տ 1 ա 13 օր, 18.05.2013</t>
  </si>
  <si>
    <t>13 տ 6 ա 13 օր, 18.12.2008</t>
  </si>
  <si>
    <t>26 տ 2 ա 12 օր, 19.04.1996</t>
  </si>
  <si>
    <t>14 տ 3 ա 17 օր, 14.03.2008</t>
  </si>
  <si>
    <t>7 տ 2 ա 1 օր, 30.04.2015</t>
  </si>
  <si>
    <t>13 տ 11 ա 0 օր, 31.07.2008</t>
  </si>
  <si>
    <t>12 տ 2 ա 16 օր, 15.04.2010</t>
  </si>
  <si>
    <t>23 տ 3 ա 20 օր, 11.03.1999</t>
  </si>
  <si>
    <t>8 տ 5 ա 8 օր, 23.01.2014</t>
  </si>
  <si>
    <t>6 տ 11 ա 7 օր, 24.07.2015</t>
  </si>
  <si>
    <t>6 տ 3 ա 2 օր, 29.03.2016</t>
  </si>
  <si>
    <t>7 տ 1 ա 12 օր, 19.05.2015</t>
  </si>
  <si>
    <t>21 տ 0 ա 18 օր, 13.06.2001</t>
  </si>
  <si>
    <t>17 տ 7 ա 13 օր, 18.11.2004</t>
  </si>
  <si>
    <t xml:space="preserve">25 տ 7 ա 16 օր, 15.11.1996 </t>
  </si>
  <si>
    <t>23 տ 2 ա 0 օր, 01.05.1999</t>
  </si>
  <si>
    <t>23 տ 5 ա 6 օր, 25.01.1999</t>
  </si>
  <si>
    <t>6 տ 4 ա 21 օր, 10.02.2016</t>
  </si>
  <si>
    <t>11 տ 5 ա 17 օր, 14.01.2011</t>
  </si>
  <si>
    <t>28 տ 8 ա 19 օր, 12.10.1993</t>
  </si>
  <si>
    <t>28 տ 7 ա 1 օր, 30.11.1993</t>
  </si>
  <si>
    <t>25 տ 5 ա 15 օր, 16.01.1997</t>
  </si>
  <si>
    <t>10 տ 1 ա 2 օր, 29.05.2012</t>
  </si>
  <si>
    <t>25 տ 6 ա 29 օր, 02.12.1996</t>
  </si>
  <si>
    <t>3 տ 3 ա 24 օր, 07.3.2019</t>
  </si>
  <si>
    <t>16 տ 1ամիս</t>
  </si>
  <si>
    <t>15 տ 11  ա 5 օր, 26.07.2006</t>
  </si>
  <si>
    <t>18 տ 8 ա 25 օր, 06.10.2003</t>
  </si>
  <si>
    <t>23 տ 5 ա 16 օր, 15.01.1999</t>
  </si>
  <si>
    <t>1 տ 4 ա 6 օր, 25.02.2019</t>
  </si>
  <si>
    <t>0 տ 4 ա 6 օր, 25.02.2019</t>
  </si>
  <si>
    <t xml:space="preserve">0 տ 8 ա 16 օր, 15.15.2018 </t>
  </si>
  <si>
    <t>Էլեկտրաէներգիաի բաշխում</t>
  </si>
  <si>
    <t>Դեռատիզացիա,միջատազերծում</t>
  </si>
  <si>
    <t>Փոստային կապի ծառայություն</t>
  </si>
  <si>
    <t>Ընդհանուր օգտագործման քաղաքային հեռախոս</t>
  </si>
  <si>
    <t>Միջքաղաքային հեռախոսային կապ</t>
  </si>
  <si>
    <t>Հատուկ կապ</t>
  </si>
  <si>
    <t>Ծառայողական ավտոմեքենաների ապահովագություն</t>
  </si>
  <si>
    <t>Ոչ բնակելի տարածքի վարձակալություն</t>
  </si>
  <si>
    <t>հակավիրուսային համակարգչային ծրագրային փաթեթներ</t>
  </si>
  <si>
    <t>ԼՍ Ֆինանս ծրագրային ապահովման սպասարկման ծառայություններ</t>
  </si>
  <si>
    <t>Համացանցային էջի ձևավորման  ծառայություններ</t>
  </si>
  <si>
    <t>Mulberri համակարգի սպասարկում</t>
  </si>
  <si>
    <t>ՀԾ-7 հաշվապահական համակարգի սպասարկում</t>
  </si>
  <si>
    <t>ՀԾ-7 հաշվապահական համակարգի ուսուցման դասընթացներ</t>
  </si>
  <si>
    <t>Համակարգչային տեխնիկական օժանդակման ծառայություններ</t>
  </si>
  <si>
    <t>Մրցութային և տեղեկատվական գովազդների հրապարակում</t>
  </si>
  <si>
    <t>Ներկայացուցչական  ծառայություններ</t>
  </si>
  <si>
    <t xml:space="preserve">Կազմակերպության ռեսուրսների պլանավորման համակարգչային ծրագրային փաթեթներ </t>
  </si>
  <si>
    <t>ծրագրային ապահովման ծառայություններ</t>
  </si>
  <si>
    <t>Համակաչգչային համակարգերի տեխ. սպասարկում</t>
  </si>
  <si>
    <t>Թուղթ օվսեթ</t>
  </si>
  <si>
    <t>Արագակար</t>
  </si>
  <si>
    <t>Ամրակ</t>
  </si>
  <si>
    <t>Կարիչ</t>
  </si>
  <si>
    <t>Գրիչ</t>
  </si>
  <si>
    <t>Թուղթ նշումների համար</t>
  </si>
  <si>
    <t>Սոսինձ</t>
  </si>
  <si>
    <t>Տոներային քաթրիջներ</t>
  </si>
  <si>
    <t>Թղթապանակ պոլիմերային թաղանթ, ֆայլ</t>
  </si>
  <si>
    <t>Flash USB</t>
  </si>
  <si>
    <t>Կարիչի մետաղալարե կապեր,միջին</t>
  </si>
  <si>
    <t>Շտրիխներ</t>
  </si>
  <si>
    <t>Գծանշիչ</t>
  </si>
  <si>
    <t xml:space="preserve">Սեղմակ </t>
  </si>
  <si>
    <t>Հաշվեսարք</t>
  </si>
  <si>
    <t>Դակիչ</t>
  </si>
  <si>
    <t>Նոթատետրեր</t>
  </si>
  <si>
    <t>Կոճգամներ</t>
  </si>
  <si>
    <t>Մատիտներ</t>
  </si>
  <si>
    <t>Թանաք կնիքի բարձիկի համար</t>
  </si>
  <si>
    <t>Մկրատ</t>
  </si>
  <si>
    <t>Թղթապանակ թելով</t>
  </si>
  <si>
    <t>Բենզին</t>
  </si>
  <si>
    <t>Օդաճնշման դողեր</t>
  </si>
  <si>
    <t>Կուտակիչային մաչտկոց</t>
  </si>
  <si>
    <t>Ավտոմոբիլի շարժիչի յուղ սինթետիկ</t>
  </si>
  <si>
    <t>Անտիֆրիզ</t>
  </si>
  <si>
    <t>Կենցաղային և հանրային սննդի նյութեր</t>
  </si>
  <si>
    <t>Օճառ տնտեսական</t>
  </si>
  <si>
    <t>Ավել</t>
  </si>
  <si>
    <t>Լվացող նյութեր</t>
  </si>
  <si>
    <t>Մաստիկա</t>
  </si>
  <si>
    <t>Էլեկտրական լամպ 60վ,80վ,100վ</t>
  </si>
  <si>
    <t>Ցերեկային լամպ 120սմ</t>
  </si>
  <si>
    <t>Վարդակ երկբևեռանի</t>
  </si>
  <si>
    <t>Զուգարանի թուղթ</t>
  </si>
  <si>
    <t>Մեկուսիչ ժապավեն</t>
  </si>
  <si>
    <t>Օճառ հեղուկ</t>
  </si>
  <si>
    <t>Վարչական սարքավորումներ</t>
  </si>
  <si>
    <t xml:space="preserve">Համակարգիչ </t>
  </si>
  <si>
    <t>Աթոռներ</t>
  </si>
  <si>
    <t>Տրանսպորտային  սարքավորումներ</t>
  </si>
  <si>
    <t xml:space="preserve">Աթոռ </t>
  </si>
  <si>
    <t>12233.3</t>
  </si>
  <si>
    <t>01</t>
  </si>
  <si>
    <t>1037</t>
  </si>
  <si>
    <t>ք. Հրազդան Միկրոշրջան թաղամաս</t>
  </si>
  <si>
    <t>1035.0</t>
  </si>
  <si>
    <t>800</t>
  </si>
  <si>
    <t>250</t>
  </si>
  <si>
    <t>10800.9</t>
  </si>
  <si>
    <t>12885.9</t>
  </si>
  <si>
    <t xml:space="preserve">Հովհաննիսյան Կարեն </t>
  </si>
  <si>
    <t>աշխատավարձի բնականոն աճ</t>
  </si>
  <si>
    <t>Հրազդանի ՍԱՏԳ-ն տեղափովել է</t>
  </si>
  <si>
    <t>ԿՈՏԱՅՔԻ ՄԱՐԶՊԵՏԱՐԱՆ</t>
  </si>
  <si>
    <t>Առկա մեքենաների թիվը` ընդամենը - 6</t>
  </si>
  <si>
    <t>66-1.1-1</t>
  </si>
  <si>
    <t>66-1.2-1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</si>
</sst>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85" formatCode="_-* #,##0.00_-;\-* #,##0.00_-;_-* &quot;-&quot;??_-;_-@_-"/>
    <numFmt numFmtId="186" formatCode="0.0"/>
    <numFmt numFmtId="197" formatCode="_(* #,##0.0_);_(* \(#,##0.0\);_(* &quot;-&quot;??_);_(@_)"/>
  </numFmts>
  <fonts count="8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.5"/>
      <name val="GHEA Grapalat"/>
      <family val="3"/>
    </font>
    <font>
      <b/>
      <sz val="12"/>
      <color indexed="10"/>
      <name val="GHEA Grapalat"/>
      <family val="3"/>
    </font>
    <font>
      <b/>
      <sz val="11"/>
      <color indexed="10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u/>
      <sz val="10"/>
      <name val="GHEA Grapalat"/>
      <family val="3"/>
    </font>
    <font>
      <sz val="10"/>
      <color indexed="8"/>
      <name val="GHEA Grapalat"/>
      <family val="3"/>
    </font>
    <font>
      <i/>
      <sz val="10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i/>
      <sz val="10"/>
      <color indexed="10"/>
      <name val="GHEA Grapalat"/>
      <family val="3"/>
    </font>
    <font>
      <sz val="10"/>
      <color indexed="10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0"/>
      <name val="GHEA Grapalat"/>
      <family val="3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u/>
      <sz val="8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u/>
      <sz val="12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b/>
      <i/>
      <sz val="9"/>
      <name val="GHEA Grapalat"/>
      <family val="3"/>
    </font>
    <font>
      <b/>
      <sz val="10"/>
      <color indexed="10"/>
      <name val="GHEA Grapalat"/>
      <family val="3"/>
    </font>
    <font>
      <b/>
      <sz val="8"/>
      <color indexed="8"/>
      <name val="GHEA Grapalat"/>
      <family val="3"/>
    </font>
    <font>
      <b/>
      <i/>
      <sz val="10"/>
      <color indexed="10"/>
      <name val="GHEA Grapalat"/>
      <family val="3"/>
    </font>
    <font>
      <sz val="9"/>
      <color indexed="8"/>
      <name val="Arial Unicode"/>
      <family val="2"/>
    </font>
    <font>
      <b/>
      <u/>
      <sz val="10"/>
      <name val="GHEA Grapalat"/>
      <family val="3"/>
    </font>
    <font>
      <b/>
      <sz val="9"/>
      <color indexed="10"/>
      <name val="GHEA Grapalat"/>
      <family val="3"/>
    </font>
    <font>
      <i/>
      <sz val="12"/>
      <name val="GHEA Grapalat"/>
      <family val="3"/>
    </font>
    <font>
      <u/>
      <sz val="9"/>
      <name val="GHEA Grapalat"/>
      <family val="3"/>
    </font>
    <font>
      <u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Times Armenian"/>
      <family val="1"/>
    </font>
    <font>
      <sz val="9"/>
      <name val="GHEA Mariam"/>
      <family val="3"/>
    </font>
    <font>
      <i/>
      <sz val="11"/>
      <name val="GHEA Grapalat"/>
      <family val="3"/>
    </font>
    <font>
      <sz val="12"/>
      <color indexed="8"/>
      <name val="GHEA Grapalat"/>
      <family val="3"/>
    </font>
    <font>
      <b/>
      <u/>
      <sz val="12"/>
      <name val="GHEA Grapalat"/>
      <family val="3"/>
    </font>
    <font>
      <sz val="11"/>
      <color indexed="8"/>
      <name val="GHEA Grapalat"/>
      <family val="3"/>
    </font>
    <font>
      <i/>
      <sz val="10"/>
      <color indexed="8"/>
      <name val="GHEA Grapalat"/>
      <family val="3"/>
    </font>
    <font>
      <sz val="9"/>
      <name val="Arial"/>
      <family val="2"/>
    </font>
    <font>
      <b/>
      <sz val="8"/>
      <name val="GHEA Mariam"/>
      <family val="3"/>
    </font>
    <font>
      <sz val="8"/>
      <name val="GHEA Mariam"/>
      <family val="3"/>
    </font>
    <font>
      <sz val="10"/>
      <name val="GHEA Mariam"/>
      <family val="3"/>
    </font>
    <font>
      <b/>
      <i/>
      <sz val="8"/>
      <name val="GHEA Mariam"/>
      <family val="3"/>
    </font>
    <font>
      <sz val="8"/>
      <color indexed="17"/>
      <name val="GHEA Mariam"/>
      <family val="3"/>
    </font>
    <font>
      <i/>
      <sz val="8"/>
      <name val="GHEA Mariam"/>
      <family val="3"/>
    </font>
    <font>
      <i/>
      <sz val="8"/>
      <color indexed="17"/>
      <name val="GHEA Mariam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"/>
      <name val="GHEA Grapalat"/>
      <family val="3"/>
    </font>
    <font>
      <sz val="11"/>
      <color theme="1"/>
      <name val="Arial Armenian"/>
      <family val="2"/>
    </font>
    <font>
      <sz val="10"/>
      <color rgb="FFFF0000"/>
      <name val="GHEA Grapalat"/>
      <family val="3"/>
    </font>
    <font>
      <b/>
      <sz val="12"/>
      <color rgb="FFFF0000"/>
      <name val="GHEA Grapalat"/>
      <family val="3"/>
    </font>
    <font>
      <sz val="8"/>
      <color rgb="FFFF0000"/>
      <name val="GHEA Grapalat"/>
      <family val="3"/>
    </font>
    <font>
      <b/>
      <sz val="10"/>
      <color rgb="FFFF0000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11"/>
      <color rgb="FFFF0000"/>
      <name val="GHEA Grapalat"/>
      <family val="3"/>
    </font>
    <font>
      <i/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rgb="FFFF0000"/>
      <name val="GHEA Grapalat"/>
      <family val="3"/>
    </font>
    <font>
      <b/>
      <sz val="8"/>
      <color rgb="FFFF0000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10"/>
      <color theme="1"/>
      <name val="GHEA Grapalat"/>
      <family val="3"/>
    </font>
    <font>
      <b/>
      <sz val="14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85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5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0" fontId="47" fillId="0" borderId="0"/>
    <xf numFmtId="0" fontId="42" fillId="0" borderId="0"/>
    <xf numFmtId="0" fontId="65" fillId="0" borderId="0"/>
    <xf numFmtId="0" fontId="42" fillId="0" borderId="0"/>
    <xf numFmtId="0" fontId="45" fillId="0" borderId="0"/>
    <xf numFmtId="0" fontId="43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7" fillId="0" borderId="0"/>
    <xf numFmtId="0" fontId="1" fillId="0" borderId="0"/>
    <xf numFmtId="0" fontId="42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6" fillId="0" borderId="0"/>
    <xf numFmtId="0" fontId="44" fillId="0" borderId="0"/>
    <xf numFmtId="171" fontId="45" fillId="0" borderId="0" applyFont="0" applyFill="0" applyBorder="0" applyAlignment="0" applyProtection="0"/>
    <xf numFmtId="171" fontId="47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71" fontId="45" fillId="0" borderId="0" applyFont="0" applyFill="0" applyBorder="0" applyAlignment="0" applyProtection="0"/>
  </cellStyleXfs>
  <cellXfs count="612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Continuous" wrapText="1"/>
    </xf>
    <xf numFmtId="0" fontId="6" fillId="2" borderId="1" xfId="0" applyFont="1" applyFill="1" applyBorder="1" applyAlignment="1">
      <alignment horizontal="centerContinuous" wrapText="1"/>
    </xf>
    <xf numFmtId="0" fontId="7" fillId="2" borderId="0" xfId="0" applyFont="1" applyFill="1" applyBorder="1" applyAlignment="1">
      <alignment horizontal="centerContinuous" wrapText="1"/>
    </xf>
    <xf numFmtId="0" fontId="7" fillId="2" borderId="0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Continuous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2" xfId="0" applyFont="1" applyFill="1" applyBorder="1" applyAlignment="1">
      <alignment wrapText="1"/>
    </xf>
    <xf numFmtId="186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2" xfId="0" applyFont="1" applyBorder="1" applyAlignment="1">
      <alignment wrapText="1"/>
    </xf>
    <xf numFmtId="0" fontId="7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Continuous" wrapText="1"/>
    </xf>
    <xf numFmtId="0" fontId="12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86" fontId="10" fillId="3" borderId="2" xfId="0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 wrapText="1"/>
    </xf>
    <xf numFmtId="0" fontId="11" fillId="0" borderId="0" xfId="0" applyFont="1" applyBorder="1"/>
    <xf numFmtId="0" fontId="13" fillId="3" borderId="2" xfId="0" applyFont="1" applyFill="1" applyBorder="1" applyAlignment="1">
      <alignment wrapText="1"/>
    </xf>
    <xf numFmtId="186" fontId="10" fillId="2" borderId="2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Continuous" wrapText="1"/>
    </xf>
    <xf numFmtId="0" fontId="10" fillId="2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Continuous" wrapText="1"/>
    </xf>
    <xf numFmtId="0" fontId="11" fillId="2" borderId="0" xfId="0" applyFont="1" applyFill="1" applyAlignment="1">
      <alignment horizontal="centerContinuous"/>
    </xf>
    <xf numFmtId="0" fontId="16" fillId="2" borderId="0" xfId="0" applyFont="1" applyFill="1" applyAlignment="1">
      <alignment horizontal="centerContinuous"/>
    </xf>
    <xf numFmtId="186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16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3" xfId="0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wrapText="1"/>
    </xf>
    <xf numFmtId="0" fontId="11" fillId="0" borderId="4" xfId="0" applyFont="1" applyBorder="1" applyAlignment="1">
      <alignment horizontal="centerContinuous" wrapText="1"/>
    </xf>
    <xf numFmtId="0" fontId="11" fillId="0" borderId="5" xfId="0" applyFont="1" applyBorder="1" applyAlignment="1">
      <alignment horizontal="centerContinuous" wrapText="1"/>
    </xf>
    <xf numFmtId="0" fontId="11" fillId="0" borderId="6" xfId="0" applyFont="1" applyBorder="1" applyAlignment="1">
      <alignment horizontal="centerContinuous" wrapText="1"/>
    </xf>
    <xf numFmtId="0" fontId="11" fillId="0" borderId="4" xfId="0" applyFont="1" applyBorder="1" applyAlignment="1">
      <alignment horizontal="centerContinuous"/>
    </xf>
    <xf numFmtId="0" fontId="16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7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Continuous" wrapText="1"/>
    </xf>
    <xf numFmtId="0" fontId="11" fillId="2" borderId="2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186" fontId="7" fillId="0" borderId="2" xfId="0" applyNumberFormat="1" applyFont="1" applyBorder="1" applyAlignment="1">
      <alignment horizontal="center"/>
    </xf>
    <xf numFmtId="186" fontId="7" fillId="0" borderId="2" xfId="0" applyNumberFormat="1" applyFont="1" applyBorder="1" applyAlignment="1">
      <alignment horizontal="centerContinuous" wrapText="1"/>
    </xf>
    <xf numFmtId="0" fontId="11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86" fontId="11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86" fontId="7" fillId="0" borderId="2" xfId="0" applyNumberFormat="1" applyFont="1" applyBorder="1" applyAlignment="1">
      <alignment horizontal="center" wrapText="1"/>
    </xf>
    <xf numFmtId="186" fontId="14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" fontId="7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86" fontId="7" fillId="3" borderId="2" xfId="0" applyNumberFormat="1" applyFont="1" applyFill="1" applyBorder="1" applyAlignment="1">
      <alignment horizontal="center"/>
    </xf>
    <xf numFmtId="0" fontId="7" fillId="3" borderId="0" xfId="0" applyFont="1" applyFill="1"/>
    <xf numFmtId="0" fontId="12" fillId="0" borderId="2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12" fillId="0" borderId="0" xfId="0" applyNumberFormat="1" applyFont="1" applyBorder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86" fontId="7" fillId="0" borderId="0" xfId="0" applyNumberFormat="1" applyFont="1" applyAlignment="1">
      <alignment horizontal="centerContinuous"/>
    </xf>
    <xf numFmtId="186" fontId="4" fillId="3" borderId="9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Continuous" wrapText="1"/>
    </xf>
    <xf numFmtId="0" fontId="12" fillId="0" borderId="0" xfId="0" applyFont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0" xfId="0" applyFont="1" applyFill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/>
    <xf numFmtId="186" fontId="7" fillId="0" borderId="2" xfId="0" applyNumberFormat="1" applyFont="1" applyBorder="1"/>
    <xf numFmtId="0" fontId="14" fillId="0" borderId="2" xfId="0" applyFont="1" applyBorder="1"/>
    <xf numFmtId="0" fontId="24" fillId="0" borderId="0" xfId="0" applyFont="1"/>
    <xf numFmtId="0" fontId="25" fillId="0" borderId="0" xfId="0" applyFont="1"/>
    <xf numFmtId="0" fontId="12" fillId="2" borderId="0" xfId="0" applyFont="1" applyFill="1" applyAlignment="1">
      <alignment wrapText="1"/>
    </xf>
    <xf numFmtId="0" fontId="7" fillId="2" borderId="0" xfId="0" applyFont="1" applyFill="1" applyAlignment="1">
      <alignment horizontal="centerContinuous" wrapText="1"/>
    </xf>
    <xf numFmtId="0" fontId="12" fillId="2" borderId="0" xfId="0" applyFont="1" applyFill="1" applyAlignment="1">
      <alignment horizontal="centerContinuous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186" fontId="12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186" fontId="10" fillId="0" borderId="2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Continuous" wrapText="1"/>
    </xf>
    <xf numFmtId="0" fontId="12" fillId="0" borderId="0" xfId="0" applyFont="1" applyAlignment="1">
      <alignment horizontal="centerContinuous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Continuous"/>
    </xf>
    <xf numFmtId="0" fontId="10" fillId="0" borderId="2" xfId="0" applyFont="1" applyBorder="1" applyAlignment="1">
      <alignment horizontal="center"/>
    </xf>
    <xf numFmtId="186" fontId="20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86" fontId="12" fillId="0" borderId="2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186" fontId="7" fillId="0" borderId="8" xfId="0" applyNumberFormat="1" applyFont="1" applyBorder="1" applyAlignment="1">
      <alignment horizontal="center" vertical="center" wrapText="1"/>
    </xf>
    <xf numFmtId="186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186" fontId="7" fillId="0" borderId="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10" fillId="4" borderId="11" xfId="0" applyFont="1" applyFill="1" applyBorder="1" applyAlignment="1">
      <alignment wrapText="1"/>
    </xf>
    <xf numFmtId="0" fontId="10" fillId="4" borderId="11" xfId="0" applyFont="1" applyFill="1" applyBorder="1" applyAlignment="1">
      <alignment horizontal="center" vertical="center"/>
    </xf>
    <xf numFmtId="186" fontId="10" fillId="4" borderId="11" xfId="0" applyNumberFormat="1" applyFont="1" applyFill="1" applyBorder="1" applyAlignment="1">
      <alignment horizontal="center" vertical="center"/>
    </xf>
    <xf numFmtId="186" fontId="10" fillId="4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Continuous" wrapText="1"/>
    </xf>
    <xf numFmtId="0" fontId="8" fillId="2" borderId="0" xfId="0" applyFont="1" applyFill="1" applyBorder="1" applyAlignment="1">
      <alignment horizontal="centerContinuous" wrapText="1"/>
    </xf>
    <xf numFmtId="0" fontId="26" fillId="2" borderId="0" xfId="0" applyFont="1" applyFill="1" applyBorder="1" applyAlignment="1">
      <alignment horizontal="centerContinuous" wrapText="1"/>
    </xf>
    <xf numFmtId="0" fontId="7" fillId="2" borderId="0" xfId="0" applyFont="1" applyFill="1" applyBorder="1"/>
    <xf numFmtId="0" fontId="7" fillId="0" borderId="0" xfId="0" applyFont="1" applyBorder="1"/>
    <xf numFmtId="0" fontId="7" fillId="2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1" fillId="2" borderId="2" xfId="0" applyFont="1" applyFill="1" applyBorder="1"/>
    <xf numFmtId="0" fontId="7" fillId="2" borderId="3" xfId="0" applyFont="1" applyFill="1" applyBorder="1" applyAlignment="1">
      <alignment wrapText="1"/>
    </xf>
    <xf numFmtId="0" fontId="7" fillId="2" borderId="2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25" fillId="0" borderId="24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0" borderId="0" xfId="0" applyFont="1"/>
    <xf numFmtId="0" fontId="14" fillId="0" borderId="21" xfId="0" applyFont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1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centerContinuous" wrapText="1"/>
    </xf>
    <xf numFmtId="0" fontId="9" fillId="0" borderId="0" xfId="0" applyFont="1" applyBorder="1"/>
    <xf numFmtId="0" fontId="29" fillId="2" borderId="30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0" fillId="2" borderId="2" xfId="0" applyFont="1" applyFill="1" applyBorder="1"/>
    <xf numFmtId="0" fontId="9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31" fillId="2" borderId="2" xfId="0" applyFont="1" applyFill="1" applyBorder="1"/>
    <xf numFmtId="0" fontId="30" fillId="2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wrapText="1"/>
    </xf>
    <xf numFmtId="0" fontId="30" fillId="0" borderId="0" xfId="0" applyFont="1"/>
    <xf numFmtId="0" fontId="11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186" fontId="7" fillId="2" borderId="2" xfId="0" applyNumberFormat="1" applyFont="1" applyFill="1" applyBorder="1" applyAlignment="1">
      <alignment horizontal="center"/>
    </xf>
    <xf numFmtId="186" fontId="10" fillId="2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wrapText="1"/>
    </xf>
    <xf numFmtId="186" fontId="10" fillId="5" borderId="2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2" borderId="4" xfId="0" applyFont="1" applyFill="1" applyBorder="1" applyAlignment="1">
      <alignment horizontal="centerContinuous"/>
    </xf>
    <xf numFmtId="0" fontId="10" fillId="2" borderId="5" xfId="0" applyFont="1" applyFill="1" applyBorder="1" applyAlignment="1">
      <alignment horizontal="centerContinuous"/>
    </xf>
    <xf numFmtId="186" fontId="7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14" fillId="2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33" fillId="2" borderId="0" xfId="0" applyFont="1" applyFill="1" applyBorder="1" applyAlignment="1">
      <alignment horizont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86" fontId="10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186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3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86" fontId="10" fillId="2" borderId="2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/>
    <xf numFmtId="0" fontId="14" fillId="0" borderId="0" xfId="0" applyFont="1" applyBorder="1"/>
    <xf numFmtId="0" fontId="4" fillId="2" borderId="8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1" fillId="0" borderId="2" xfId="0" applyFont="1" applyFill="1" applyBorder="1"/>
    <xf numFmtId="0" fontId="3" fillId="2" borderId="0" xfId="0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7" fillId="2" borderId="0" xfId="0" applyFont="1" applyFill="1" applyBorder="1" applyAlignment="1">
      <alignment horizontal="left"/>
    </xf>
    <xf numFmtId="0" fontId="19" fillId="0" borderId="2" xfId="0" applyFont="1" applyBorder="1" applyAlignment="1">
      <alignment horizontal="center" wrapText="1"/>
    </xf>
    <xf numFmtId="186" fontId="7" fillId="3" borderId="2" xfId="0" applyNumberFormat="1" applyFont="1" applyFill="1" applyBorder="1" applyAlignment="1">
      <alignment horizontal="centerContinuous" wrapText="1"/>
    </xf>
    <xf numFmtId="0" fontId="7" fillId="3" borderId="2" xfId="0" applyFont="1" applyFill="1" applyBorder="1" applyAlignment="1">
      <alignment horizontal="centerContinuous" wrapText="1"/>
    </xf>
    <xf numFmtId="0" fontId="11" fillId="0" borderId="8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0" borderId="0" xfId="0" applyFont="1" applyBorder="1"/>
    <xf numFmtId="0" fontId="10" fillId="2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Continuous" wrapText="1"/>
    </xf>
    <xf numFmtId="0" fontId="37" fillId="5" borderId="0" xfId="0" applyFont="1" applyFill="1" applyBorder="1" applyAlignment="1">
      <alignment horizontal="centerContinuous" wrapText="1"/>
    </xf>
    <xf numFmtId="0" fontId="28" fillId="5" borderId="0" xfId="0" applyFont="1" applyFill="1"/>
    <xf numFmtId="0" fontId="28" fillId="0" borderId="0" xfId="0" applyFont="1"/>
    <xf numFmtId="0" fontId="10" fillId="2" borderId="28" xfId="0" applyFont="1" applyFill="1" applyBorder="1" applyAlignment="1">
      <alignment horizontal="centerContinuous" wrapText="1"/>
    </xf>
    <xf numFmtId="0" fontId="7" fillId="6" borderId="0" xfId="0" applyFont="1" applyFill="1"/>
    <xf numFmtId="0" fontId="7" fillId="6" borderId="2" xfId="0" applyFont="1" applyFill="1" applyBorder="1" applyAlignment="1">
      <alignment horizontal="center" wrapText="1"/>
    </xf>
    <xf numFmtId="186" fontId="7" fillId="6" borderId="2" xfId="0" applyNumberFormat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186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8" fillId="0" borderId="2" xfId="0" applyFont="1" applyBorder="1" applyAlignment="1">
      <alignment horizontal="center" wrapText="1"/>
    </xf>
    <xf numFmtId="0" fontId="12" fillId="6" borderId="2" xfId="0" applyFont="1" applyFill="1" applyBorder="1" applyAlignment="1">
      <alignment wrapText="1"/>
    </xf>
    <xf numFmtId="0" fontId="19" fillId="6" borderId="2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horizontal="center"/>
    </xf>
    <xf numFmtId="186" fontId="7" fillId="6" borderId="2" xfId="0" applyNumberFormat="1" applyFont="1" applyFill="1" applyBorder="1" applyAlignment="1">
      <alignment horizontal="center" wrapText="1"/>
    </xf>
    <xf numFmtId="0" fontId="66" fillId="7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left" indent="2"/>
    </xf>
    <xf numFmtId="0" fontId="9" fillId="8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40" fillId="2" borderId="0" xfId="0" applyFont="1" applyFill="1" applyBorder="1" applyAlignment="1">
      <alignment horizontal="left" vertical="top" wrapText="1"/>
    </xf>
    <xf numFmtId="186" fontId="7" fillId="9" borderId="2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Continuous" wrapText="1"/>
    </xf>
    <xf numFmtId="0" fontId="10" fillId="2" borderId="5" xfId="0" applyFont="1" applyFill="1" applyBorder="1" applyAlignment="1">
      <alignment horizontal="centerContinuous" wrapText="1"/>
    </xf>
    <xf numFmtId="0" fontId="10" fillId="2" borderId="6" xfId="0" applyFont="1" applyFill="1" applyBorder="1" applyAlignment="1">
      <alignment horizontal="centerContinuous" wrapText="1"/>
    </xf>
    <xf numFmtId="0" fontId="41" fillId="2" borderId="0" xfId="0" applyFont="1" applyFill="1"/>
    <xf numFmtId="0" fontId="7" fillId="2" borderId="30" xfId="0" applyFont="1" applyFill="1" applyBorder="1" applyAlignment="1">
      <alignment wrapText="1"/>
    </xf>
    <xf numFmtId="0" fontId="7" fillId="2" borderId="30" xfId="0" applyFont="1" applyFill="1" applyBorder="1" applyAlignment="1"/>
    <xf numFmtId="0" fontId="7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/>
    <xf numFmtId="0" fontId="12" fillId="2" borderId="0" xfId="0" applyFont="1" applyFill="1" applyAlignment="1"/>
    <xf numFmtId="0" fontId="6" fillId="8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/>
    <xf numFmtId="0" fontId="8" fillId="2" borderId="32" xfId="0" applyFont="1" applyFill="1" applyBorder="1" applyAlignment="1"/>
    <xf numFmtId="0" fontId="7" fillId="2" borderId="0" xfId="0" applyFont="1" applyFill="1" applyBorder="1" applyAlignment="1"/>
    <xf numFmtId="0" fontId="10" fillId="2" borderId="33" xfId="0" applyFont="1" applyFill="1" applyBorder="1" applyAlignment="1">
      <alignment horizontal="centerContinuous"/>
    </xf>
    <xf numFmtId="0" fontId="10" fillId="2" borderId="34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 wrapText="1"/>
    </xf>
    <xf numFmtId="0" fontId="10" fillId="2" borderId="0" xfId="0" applyFont="1" applyFill="1" applyAlignment="1">
      <alignment horizontal="centerContinuous" vertical="center"/>
    </xf>
    <xf numFmtId="1" fontId="67" fillId="0" borderId="2" xfId="0" applyNumberFormat="1" applyFont="1" applyBorder="1" applyAlignment="1">
      <alignment horizontal="center"/>
    </xf>
    <xf numFmtId="2" fontId="9" fillId="2" borderId="0" xfId="0" applyNumberFormat="1" applyFont="1" applyFill="1" applyAlignment="1">
      <alignment horizontal="centerContinuous" wrapText="1"/>
    </xf>
    <xf numFmtId="186" fontId="68" fillId="0" borderId="2" xfId="0" applyNumberFormat="1" applyFont="1" applyBorder="1" applyAlignment="1">
      <alignment horizontal="center"/>
    </xf>
    <xf numFmtId="2" fontId="66" fillId="0" borderId="2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Continuous"/>
    </xf>
    <xf numFmtId="0" fontId="24" fillId="0" borderId="14" xfId="0" applyFont="1" applyBorder="1" applyAlignment="1">
      <alignment horizontal="center" vertical="center" wrapText="1"/>
    </xf>
    <xf numFmtId="0" fontId="48" fillId="0" borderId="2" xfId="42" applyFont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10" fillId="10" borderId="2" xfId="0" applyFont="1" applyFill="1" applyBorder="1" applyAlignment="1">
      <alignment horizontal="left" vertical="center" wrapText="1"/>
    </xf>
    <xf numFmtId="186" fontId="7" fillId="10" borderId="2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left" vertical="center" wrapText="1"/>
    </xf>
    <xf numFmtId="186" fontId="7" fillId="8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49" fillId="3" borderId="2" xfId="0" applyFont="1" applyFill="1" applyBorder="1" applyAlignment="1">
      <alignment wrapText="1"/>
    </xf>
    <xf numFmtId="0" fontId="10" fillId="2" borderId="29" xfId="0" applyFont="1" applyFill="1" applyBorder="1" applyAlignment="1">
      <alignment horizontal="centerContinuous" vertical="center"/>
    </xf>
    <xf numFmtId="0" fontId="24" fillId="0" borderId="36" xfId="0" applyFont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 wrapText="1"/>
    </xf>
    <xf numFmtId="186" fontId="27" fillId="9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8" fillId="2" borderId="32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Continuous" vertical="center" wrapText="1"/>
    </xf>
    <xf numFmtId="0" fontId="7" fillId="0" borderId="9" xfId="0" applyFont="1" applyBorder="1" applyAlignment="1">
      <alignment horizontal="center" wrapText="1"/>
    </xf>
    <xf numFmtId="0" fontId="7" fillId="0" borderId="34" xfId="0" applyFont="1" applyBorder="1" applyAlignment="1">
      <alignment horizontal="centerContinuous" wrapText="1"/>
    </xf>
    <xf numFmtId="0" fontId="7" fillId="0" borderId="9" xfId="0" applyFont="1" applyBorder="1" applyAlignment="1">
      <alignment horizontal="centerContinuous" wrapText="1"/>
    </xf>
    <xf numFmtId="0" fontId="24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2" borderId="32" xfId="0" applyFont="1" applyFill="1" applyBorder="1" applyAlignment="1">
      <alignment horizontal="centerContinuous" wrapText="1"/>
    </xf>
    <xf numFmtId="0" fontId="50" fillId="2" borderId="0" xfId="0" applyFont="1" applyFill="1" applyBorder="1" applyAlignment="1">
      <alignment horizontal="centerContinuous" vertical="center" wrapText="1"/>
    </xf>
    <xf numFmtId="0" fontId="7" fillId="9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9" fillId="2" borderId="0" xfId="0" applyFont="1" applyFill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9" fontId="12" fillId="0" borderId="2" xfId="0" applyNumberFormat="1" applyFont="1" applyBorder="1" applyAlignment="1">
      <alignment horizontal="center"/>
    </xf>
    <xf numFmtId="197" fontId="69" fillId="8" borderId="2" xfId="15" applyNumberFormat="1" applyFont="1" applyFill="1" applyBorder="1" applyAlignment="1">
      <alignment horizontal="left" wrapText="1"/>
    </xf>
    <xf numFmtId="0" fontId="70" fillId="0" borderId="2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left" vertical="top" wrapText="1"/>
    </xf>
    <xf numFmtId="0" fontId="70" fillId="0" borderId="2" xfId="0" applyFont="1" applyFill="1" applyBorder="1" applyAlignment="1">
      <alignment horizontal="left" vertical="top" wrapText="1"/>
    </xf>
    <xf numFmtId="0" fontId="72" fillId="0" borderId="2" xfId="0" applyFont="1" applyFill="1" applyBorder="1" applyAlignment="1">
      <alignment horizontal="center" vertical="top" wrapText="1"/>
    </xf>
    <xf numFmtId="186" fontId="21" fillId="0" borderId="2" xfId="30" applyNumberFormat="1" applyFont="1" applyFill="1" applyBorder="1" applyAlignment="1">
      <alignment horizontal="center" wrapText="1"/>
    </xf>
    <xf numFmtId="186" fontId="73" fillId="0" borderId="2" xfId="30" applyNumberFormat="1" applyFont="1" applyFill="1" applyBorder="1" applyAlignment="1">
      <alignment horizontal="center" wrapText="1"/>
    </xf>
    <xf numFmtId="186" fontId="7" fillId="2" borderId="35" xfId="0" applyNumberFormat="1" applyFont="1" applyFill="1" applyBorder="1" applyAlignment="1">
      <alignment wrapText="1"/>
    </xf>
    <xf numFmtId="186" fontId="7" fillId="2" borderId="0" xfId="0" applyNumberFormat="1" applyFont="1" applyFill="1" applyBorder="1" applyAlignment="1">
      <alignment horizontal="center" wrapText="1"/>
    </xf>
    <xf numFmtId="186" fontId="7" fillId="0" borderId="0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33" fillId="2" borderId="0" xfId="0" applyFont="1" applyFill="1" applyBorder="1" applyAlignment="1">
      <alignment horizontal="left" vertical="center" wrapText="1"/>
    </xf>
    <xf numFmtId="0" fontId="74" fillId="0" borderId="2" xfId="0" applyFont="1" applyFill="1" applyBorder="1" applyAlignment="1">
      <alignment horizontal="left" vertical="center" wrapText="1"/>
    </xf>
    <xf numFmtId="0" fontId="75" fillId="0" borderId="2" xfId="0" applyFont="1" applyFill="1" applyBorder="1" applyAlignment="1">
      <alignment horizontal="left" vertical="center"/>
    </xf>
    <xf numFmtId="0" fontId="70" fillId="0" borderId="2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left" vertical="center" wrapText="1"/>
    </xf>
    <xf numFmtId="0" fontId="11" fillId="11" borderId="8" xfId="0" applyFont="1" applyFill="1" applyBorder="1" applyAlignment="1">
      <alignment horizontal="center" wrapText="1"/>
    </xf>
    <xf numFmtId="0" fontId="6" fillId="11" borderId="8" xfId="0" applyFont="1" applyFill="1" applyBorder="1" applyAlignment="1">
      <alignment horizontal="center" wrapText="1"/>
    </xf>
    <xf numFmtId="0" fontId="76" fillId="7" borderId="0" xfId="0" applyFont="1" applyFill="1" applyAlignment="1">
      <alignment horizontal="center" wrapText="1"/>
    </xf>
    <xf numFmtId="0" fontId="70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3" borderId="6" xfId="42" applyFont="1" applyFill="1" applyBorder="1" applyAlignment="1">
      <alignment horizontal="center" vertical="center" wrapText="1"/>
    </xf>
    <xf numFmtId="0" fontId="11" fillId="0" borderId="6" xfId="4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34" fillId="10" borderId="37" xfId="0" applyNumberFormat="1" applyFont="1" applyFill="1" applyBorder="1" applyAlignment="1">
      <alignment horizontal="center" vertical="center" wrapText="1"/>
    </xf>
    <xf numFmtId="1" fontId="77" fillId="8" borderId="6" xfId="0" applyNumberFormat="1" applyFont="1" applyFill="1" applyBorder="1" applyAlignment="1">
      <alignment horizontal="center"/>
    </xf>
    <xf numFmtId="0" fontId="72" fillId="0" borderId="3" xfId="0" applyFont="1" applyFill="1" applyBorder="1" applyAlignment="1">
      <alignment horizontal="center" vertical="top" wrapText="1"/>
    </xf>
    <xf numFmtId="0" fontId="7" fillId="0" borderId="31" xfId="0" applyFont="1" applyFill="1" applyBorder="1"/>
    <xf numFmtId="0" fontId="7" fillId="0" borderId="37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3" xfId="0" applyFont="1" applyFill="1" applyBorder="1"/>
    <xf numFmtId="0" fontId="10" fillId="2" borderId="8" xfId="0" applyFont="1" applyFill="1" applyBorder="1"/>
    <xf numFmtId="0" fontId="8" fillId="2" borderId="0" xfId="0" applyFont="1" applyFill="1" applyBorder="1" applyAlignment="1">
      <alignment wrapText="1"/>
    </xf>
    <xf numFmtId="0" fontId="24" fillId="0" borderId="9" xfId="0" applyFont="1" applyBorder="1" applyAlignment="1">
      <alignment horizontal="center" vertical="center" wrapText="1"/>
    </xf>
    <xf numFmtId="0" fontId="22" fillId="0" borderId="0" xfId="0" applyFont="1" applyFill="1"/>
    <xf numFmtId="0" fontId="8" fillId="0" borderId="1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top" wrapText="1"/>
    </xf>
    <xf numFmtId="0" fontId="10" fillId="0" borderId="28" xfId="0" applyFont="1" applyFill="1" applyBorder="1"/>
    <xf numFmtId="0" fontId="20" fillId="0" borderId="2" xfId="0" applyFont="1" applyFill="1" applyBorder="1" applyAlignment="1">
      <alignment wrapText="1"/>
    </xf>
    <xf numFmtId="0" fontId="32" fillId="0" borderId="2" xfId="0" applyFont="1" applyFill="1" applyBorder="1"/>
    <xf numFmtId="0" fontId="32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4" fillId="0" borderId="0" xfId="0" applyFont="1" applyFill="1" applyBorder="1"/>
    <xf numFmtId="0" fontId="9" fillId="0" borderId="0" xfId="20" applyFont="1" applyAlignment="1">
      <alignment horizontal="center"/>
    </xf>
    <xf numFmtId="0" fontId="51" fillId="0" borderId="0" xfId="20" applyFont="1" applyAlignment="1">
      <alignment vertical="center"/>
    </xf>
    <xf numFmtId="0" fontId="9" fillId="0" borderId="0" xfId="20" applyFont="1"/>
    <xf numFmtId="0" fontId="9" fillId="0" borderId="0" xfId="20" applyFont="1" applyBorder="1" applyAlignment="1">
      <alignment horizontal="center"/>
    </xf>
    <xf numFmtId="0" fontId="12" fillId="0" borderId="0" xfId="20" applyFont="1" applyBorder="1" applyAlignment="1">
      <alignment horizontal="center" vertical="center" wrapText="1"/>
    </xf>
    <xf numFmtId="0" fontId="9" fillId="0" borderId="0" xfId="20" applyFont="1" applyBorder="1"/>
    <xf numFmtId="0" fontId="71" fillId="0" borderId="0" xfId="20" applyFont="1"/>
    <xf numFmtId="0" fontId="70" fillId="0" borderId="0" xfId="20" applyFont="1"/>
    <xf numFmtId="0" fontId="78" fillId="0" borderId="2" xfId="20" applyFont="1" applyBorder="1" applyAlignment="1">
      <alignment horizontal="center" vertical="center" wrapText="1"/>
    </xf>
    <xf numFmtId="0" fontId="79" fillId="12" borderId="2" xfId="20" applyFont="1" applyFill="1" applyBorder="1" applyAlignment="1">
      <alignment horizontal="center" vertical="center" wrapText="1"/>
    </xf>
    <xf numFmtId="0" fontId="79" fillId="12" borderId="2" xfId="20" applyFont="1" applyFill="1" applyBorder="1" applyAlignment="1">
      <alignment horizontal="left" vertical="center" wrapText="1"/>
    </xf>
    <xf numFmtId="0" fontId="78" fillId="0" borderId="2" xfId="20" applyFont="1" applyBorder="1"/>
    <xf numFmtId="0" fontId="78" fillId="0" borderId="2" xfId="20" applyFont="1" applyBorder="1" applyAlignment="1">
      <alignment horizontal="center"/>
    </xf>
    <xf numFmtId="0" fontId="78" fillId="0" borderId="2" xfId="20" applyFont="1" applyBorder="1" applyAlignment="1">
      <alignment vertical="center" wrapText="1"/>
    </xf>
    <xf numFmtId="0" fontId="80" fillId="12" borderId="2" xfId="20" applyFont="1" applyFill="1" applyBorder="1" applyAlignment="1">
      <alignment horizontal="left" vertical="center" wrapText="1"/>
    </xf>
    <xf numFmtId="0" fontId="78" fillId="8" borderId="2" xfId="20" applyFont="1" applyFill="1" applyBorder="1" applyAlignment="1">
      <alignment horizontal="center"/>
    </xf>
    <xf numFmtId="0" fontId="81" fillId="8" borderId="2" xfId="20" applyFont="1" applyFill="1" applyBorder="1" applyAlignment="1">
      <alignment horizontal="center" vertical="center" wrapText="1"/>
    </xf>
    <xf numFmtId="0" fontId="78" fillId="8" borderId="2" xfId="20" applyFont="1" applyFill="1" applyBorder="1"/>
    <xf numFmtId="0" fontId="71" fillId="0" borderId="2" xfId="20" applyFont="1" applyBorder="1" applyAlignment="1">
      <alignment horizontal="center"/>
    </xf>
    <xf numFmtId="0" fontId="78" fillId="0" borderId="2" xfId="20" applyFont="1" applyBorder="1" applyAlignment="1">
      <alignment horizontal="left" vertical="center" wrapText="1"/>
    </xf>
    <xf numFmtId="0" fontId="71" fillId="0" borderId="2" xfId="20" applyFont="1" applyBorder="1" applyAlignment="1">
      <alignment horizontal="left" vertical="center" wrapText="1"/>
    </xf>
    <xf numFmtId="0" fontId="71" fillId="8" borderId="2" xfId="2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Continuous" wrapText="1"/>
    </xf>
    <xf numFmtId="0" fontId="7" fillId="0" borderId="8" xfId="21" applyFont="1" applyBorder="1" applyAlignment="1">
      <alignment horizontal="left" vertical="center"/>
    </xf>
    <xf numFmtId="0" fontId="7" fillId="0" borderId="2" xfId="21" applyFont="1" applyBorder="1" applyAlignment="1">
      <alignment horizontal="left" vertical="center"/>
    </xf>
    <xf numFmtId="0" fontId="7" fillId="0" borderId="8" xfId="21" applyFont="1" applyBorder="1" applyAlignment="1">
      <alignment horizontal="center" vertical="center" wrapText="1"/>
    </xf>
    <xf numFmtId="186" fontId="7" fillId="0" borderId="8" xfId="21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/>
    </xf>
    <xf numFmtId="0" fontId="44" fillId="0" borderId="2" xfId="0" applyFont="1" applyBorder="1"/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2" xfId="0" applyFont="1" applyFill="1" applyBorder="1" applyAlignment="1">
      <alignment wrapText="1"/>
    </xf>
    <xf numFmtId="0" fontId="42" fillId="0" borderId="5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49" fontId="9" fillId="2" borderId="2" xfId="0" applyNumberFormat="1" applyFont="1" applyFill="1" applyBorder="1" applyAlignment="1">
      <alignment horizontal="left" vertical="center" wrapText="1"/>
    </xf>
    <xf numFmtId="186" fontId="9" fillId="2" borderId="2" xfId="0" applyNumberFormat="1" applyFont="1" applyFill="1" applyBorder="1"/>
    <xf numFmtId="186" fontId="9" fillId="2" borderId="2" xfId="0" applyNumberFormat="1" applyFont="1" applyFill="1" applyBorder="1" applyAlignment="1">
      <alignment horizontal="center"/>
    </xf>
    <xf numFmtId="49" fontId="7" fillId="9" borderId="2" xfId="0" applyNumberFormat="1" applyFont="1" applyFill="1" applyBorder="1" applyAlignment="1">
      <alignment horizontal="left" vertical="center" wrapText="1"/>
    </xf>
    <xf numFmtId="49" fontId="30" fillId="9" borderId="2" xfId="0" applyNumberFormat="1" applyFont="1" applyFill="1" applyBorder="1" applyAlignment="1">
      <alignment horizontal="left" vertical="center" wrapText="1"/>
    </xf>
    <xf numFmtId="0" fontId="9" fillId="2" borderId="2" xfId="21" applyFont="1" applyFill="1" applyBorder="1" applyAlignment="1">
      <alignment horizontal="left" vertical="center" wrapText="1"/>
    </xf>
    <xf numFmtId="0" fontId="9" fillId="2" borderId="2" xfId="21" applyFont="1" applyFill="1" applyBorder="1" applyAlignment="1">
      <alignment horizontal="center"/>
    </xf>
    <xf numFmtId="0" fontId="12" fillId="2" borderId="2" xfId="21" applyFont="1" applyFill="1" applyBorder="1" applyAlignment="1">
      <alignment horizontal="center"/>
    </xf>
    <xf numFmtId="0" fontId="9" fillId="2" borderId="2" xfId="21" applyFont="1" applyFill="1" applyBorder="1"/>
    <xf numFmtId="0" fontId="9" fillId="0" borderId="0" xfId="21" applyFont="1"/>
    <xf numFmtId="0" fontId="9" fillId="2" borderId="2" xfId="21" applyFont="1" applyFill="1" applyBorder="1" applyAlignment="1">
      <alignment wrapText="1"/>
    </xf>
    <xf numFmtId="0" fontId="30" fillId="0" borderId="0" xfId="21" applyFont="1"/>
    <xf numFmtId="0" fontId="55" fillId="0" borderId="2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186" fontId="56" fillId="0" borderId="2" xfId="0" applyNumberFormat="1" applyFont="1" applyFill="1" applyBorder="1" applyAlignment="1">
      <alignment horizontal="center" vertical="center"/>
    </xf>
    <xf numFmtId="1" fontId="56" fillId="0" borderId="2" xfId="33" applyNumberFormat="1" applyFont="1" applyFill="1" applyBorder="1" applyAlignment="1">
      <alignment horizontal="center" vertical="center"/>
    </xf>
    <xf numFmtId="0" fontId="56" fillId="0" borderId="2" xfId="34" applyFont="1" applyFill="1" applyBorder="1" applyAlignment="1">
      <alignment horizontal="center" vertical="center" wrapText="1"/>
    </xf>
    <xf numFmtId="186" fontId="56" fillId="0" borderId="2" xfId="0" applyNumberFormat="1" applyFont="1" applyFill="1" applyBorder="1" applyAlignment="1">
      <alignment horizontal="center" vertical="center" wrapText="1"/>
    </xf>
    <xf numFmtId="1" fontId="56" fillId="0" borderId="2" xfId="34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/>
    </xf>
    <xf numFmtId="186" fontId="57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left" vertical="center"/>
    </xf>
    <xf numFmtId="2" fontId="56" fillId="0" borderId="2" xfId="34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1" fontId="57" fillId="0" borderId="2" xfId="34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wrapText="1"/>
    </xf>
    <xf numFmtId="0" fontId="55" fillId="0" borderId="2" xfId="34" applyFont="1" applyFill="1" applyBorder="1" applyAlignment="1">
      <alignment horizontal="center" vertical="center" wrapText="1"/>
    </xf>
    <xf numFmtId="1" fontId="56" fillId="0" borderId="2" xfId="34" applyNumberFormat="1" applyFont="1" applyFill="1" applyBorder="1" applyAlignment="1">
      <alignment horizontal="center" vertical="center" wrapText="1"/>
    </xf>
    <xf numFmtId="1" fontId="56" fillId="0" borderId="2" xfId="0" applyNumberFormat="1" applyFont="1" applyFill="1" applyBorder="1" applyAlignment="1">
      <alignment horizontal="center" vertical="center"/>
    </xf>
    <xf numFmtId="1" fontId="59" fillId="0" borderId="2" xfId="34" applyNumberFormat="1" applyFont="1" applyFill="1" applyBorder="1" applyAlignment="1">
      <alignment horizontal="center" vertical="center" wrapText="1"/>
    </xf>
    <xf numFmtId="1" fontId="59" fillId="0" borderId="2" xfId="0" applyNumberFormat="1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 wrapText="1"/>
    </xf>
    <xf numFmtId="2" fontId="59" fillId="0" borderId="2" xfId="34" applyNumberFormat="1" applyFont="1" applyFill="1" applyBorder="1" applyAlignment="1">
      <alignment horizontal="center" vertical="center" wrapText="1"/>
    </xf>
    <xf numFmtId="0" fontId="59" fillId="0" borderId="2" xfId="34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186" fontId="55" fillId="0" borderId="2" xfId="0" applyNumberFormat="1" applyFont="1" applyFill="1" applyBorder="1" applyAlignment="1">
      <alignment horizontal="center" vertical="center"/>
    </xf>
    <xf numFmtId="1" fontId="55" fillId="0" borderId="2" xfId="34" applyNumberFormat="1" applyFont="1" applyFill="1" applyBorder="1" applyAlignment="1">
      <alignment horizontal="center" vertical="center" wrapText="1"/>
    </xf>
    <xf numFmtId="1" fontId="55" fillId="0" borderId="2" xfId="0" applyNumberFormat="1" applyFont="1" applyFill="1" applyBorder="1" applyAlignment="1">
      <alignment horizontal="center" vertical="center"/>
    </xf>
    <xf numFmtId="0" fontId="59" fillId="0" borderId="2" xfId="33" applyFont="1" applyFill="1" applyBorder="1" applyAlignment="1">
      <alignment horizontal="center" vertical="center"/>
    </xf>
    <xf numFmtId="0" fontId="56" fillId="0" borderId="2" xfId="33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60" fillId="0" borderId="2" xfId="34" applyFont="1" applyFill="1" applyBorder="1" applyAlignment="1">
      <alignment horizontal="center" vertical="center" wrapText="1"/>
    </xf>
    <xf numFmtId="0" fontId="56" fillId="0" borderId="2" xfId="34" applyFont="1" applyFill="1" applyBorder="1" applyAlignment="1">
      <alignment horizontal="center" vertical="center"/>
    </xf>
    <xf numFmtId="1" fontId="55" fillId="0" borderId="2" xfId="33" applyNumberFormat="1" applyFont="1" applyFill="1" applyBorder="1" applyAlignment="1">
      <alignment horizontal="center" vertical="center"/>
    </xf>
    <xf numFmtId="1" fontId="55" fillId="0" borderId="2" xfId="0" applyNumberFormat="1" applyFont="1" applyFill="1" applyBorder="1" applyAlignment="1">
      <alignment horizontal="center" vertical="center" wrapText="1"/>
    </xf>
    <xf numFmtId="0" fontId="55" fillId="0" borderId="2" xfId="33" applyFont="1" applyFill="1" applyBorder="1" applyAlignment="1">
      <alignment horizontal="center" vertical="center"/>
    </xf>
    <xf numFmtId="186" fontId="56" fillId="0" borderId="2" xfId="33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56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186" fontId="14" fillId="8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27" fillId="9" borderId="2" xfId="0" applyFont="1" applyFill="1" applyBorder="1" applyAlignment="1">
      <alignment horizontal="left" vertical="center" wrapText="1"/>
    </xf>
    <xf numFmtId="0" fontId="64" fillId="8" borderId="2" xfId="0" applyFont="1" applyFill="1" applyBorder="1" applyAlignment="1">
      <alignment horizontal="left" wrapText="1"/>
    </xf>
    <xf numFmtId="186" fontId="14" fillId="0" borderId="4" xfId="0" applyNumberFormat="1" applyFont="1" applyBorder="1" applyAlignment="1">
      <alignment horizontal="center"/>
    </xf>
    <xf numFmtId="186" fontId="52" fillId="0" borderId="4" xfId="0" applyNumberFormat="1" applyFont="1" applyBorder="1" applyAlignment="1">
      <alignment horizontal="center"/>
    </xf>
    <xf numFmtId="0" fontId="52" fillId="0" borderId="2" xfId="0" applyFont="1" applyBorder="1" applyAlignment="1">
      <alignment horizontal="left" vertical="center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2" fontId="7" fillId="9" borderId="2" xfId="0" applyNumberFormat="1" applyFont="1" applyFill="1" applyBorder="1" applyAlignment="1">
      <alignment horizontal="center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7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49" fontId="71" fillId="0" borderId="3" xfId="0" applyNumberFormat="1" applyFont="1" applyFill="1" applyBorder="1" applyAlignment="1">
      <alignment horizontal="center" vertical="top" wrapText="1"/>
    </xf>
    <xf numFmtId="49" fontId="71" fillId="0" borderId="7" xfId="0" applyNumberFormat="1" applyFont="1" applyFill="1" applyBorder="1" applyAlignment="1">
      <alignment horizontal="center" vertical="top" wrapText="1"/>
    </xf>
    <xf numFmtId="49" fontId="71" fillId="0" borderId="8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7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1" fillId="0" borderId="38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73" fillId="0" borderId="0" xfId="0" applyFont="1" applyFill="1" applyAlignment="1">
      <alignment horizontal="left" vertical="center" wrapText="1"/>
    </xf>
    <xf numFmtId="0" fontId="70" fillId="0" borderId="38" xfId="0" applyFont="1" applyFill="1" applyBorder="1" applyAlignment="1">
      <alignment horizontal="center" vertical="top" wrapText="1"/>
    </xf>
    <xf numFmtId="0" fontId="70" fillId="0" borderId="31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horizontal="center" wrapText="1"/>
    </xf>
    <xf numFmtId="0" fontId="76" fillId="7" borderId="0" xfId="0" applyFont="1" applyFill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8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69" fillId="2" borderId="33" xfId="0" applyFont="1" applyFill="1" applyBorder="1" applyAlignment="1">
      <alignment horizontal="center" wrapText="1"/>
    </xf>
    <xf numFmtId="0" fontId="69" fillId="2" borderId="3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67" fillId="2" borderId="0" xfId="0" applyFont="1" applyFill="1" applyBorder="1" applyAlignment="1">
      <alignment horizontal="left" wrapText="1"/>
    </xf>
    <xf numFmtId="0" fontId="33" fillId="0" borderId="0" xfId="0" applyFont="1" applyAlignment="1">
      <alignment horizontal="center" wrapText="1"/>
    </xf>
    <xf numFmtId="0" fontId="3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29" fillId="2" borderId="1" xfId="21" applyFont="1" applyFill="1" applyBorder="1" applyAlignment="1">
      <alignment horizontal="center" wrapText="1"/>
    </xf>
    <xf numFmtId="0" fontId="55" fillId="0" borderId="2" xfId="34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55" fillId="0" borderId="2" xfId="33" applyFont="1" applyFill="1" applyBorder="1" applyAlignment="1">
      <alignment horizontal="center" vertical="center"/>
    </xf>
    <xf numFmtId="0" fontId="55" fillId="0" borderId="2" xfId="34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82" fillId="0" borderId="0" xfId="20" applyFont="1" applyAlignment="1">
      <alignment horizontal="center" vertical="center" wrapText="1"/>
    </xf>
  </cellXfs>
  <cellStyles count="49">
    <cellStyle name="Comma 10" xfId="1"/>
    <cellStyle name="Comma 2" xfId="2"/>
    <cellStyle name="Comma 2 2" xfId="3"/>
    <cellStyle name="Comma 2 3" xfId="4"/>
    <cellStyle name="Comma 2 4" xfId="5"/>
    <cellStyle name="Comma 3" xfId="6"/>
    <cellStyle name="Comma 3 2" xfId="7"/>
    <cellStyle name="Comma 3 3" xfId="8"/>
    <cellStyle name="Comma 4" xfId="9"/>
    <cellStyle name="Comma 5" xfId="10"/>
    <cellStyle name="Comma 6" xfId="11"/>
    <cellStyle name="Comma 6 2" xfId="12"/>
    <cellStyle name="Comma 7" xfId="13"/>
    <cellStyle name="Comma 7 2" xfId="14"/>
    <cellStyle name="Comma 7 3" xfId="15"/>
    <cellStyle name="Comma 8" xfId="16"/>
    <cellStyle name="Comma 9" xfId="17"/>
    <cellStyle name="Normal 10" xfId="18"/>
    <cellStyle name="Normal 11" xfId="19"/>
    <cellStyle name="Normal 12" xfId="20"/>
    <cellStyle name="Normal 2" xfId="21"/>
    <cellStyle name="Normal 2 2" xfId="22"/>
    <cellStyle name="Normal 2 3" xfId="23"/>
    <cellStyle name="Normal 3" xfId="24"/>
    <cellStyle name="Normal 3 2" xfId="25"/>
    <cellStyle name="Normal 4" xfId="26"/>
    <cellStyle name="Normal 5" xfId="27"/>
    <cellStyle name="Normal 6" xfId="28"/>
    <cellStyle name="Normal 6 2" xfId="29"/>
    <cellStyle name="Normal 7" xfId="30"/>
    <cellStyle name="Normal 8" xfId="31"/>
    <cellStyle name="Normal 9" xfId="32"/>
    <cellStyle name="Normal_APARAT hajt lracrac 2007" xfId="33"/>
    <cellStyle name="Normal_Ashxatavarc" xfId="34"/>
    <cellStyle name="Style 1" xfId="35"/>
    <cellStyle name="Style 1 2" xfId="36"/>
    <cellStyle name="Style 1 3" xfId="37"/>
    <cellStyle name="Style 1 4" xfId="38"/>
    <cellStyle name="Обычный" xfId="0" builtinId="0"/>
    <cellStyle name="Обычный 2" xfId="39"/>
    <cellStyle name="Обычный 3" xfId="40"/>
    <cellStyle name="Стиль 1" xfId="41"/>
    <cellStyle name="Стиль 1 2" xfId="42"/>
    <cellStyle name="Стиль 1 2 2" xfId="43"/>
    <cellStyle name="Финансовый 2" xfId="44"/>
    <cellStyle name="Финансовый 2 2" xfId="45"/>
    <cellStyle name="Финансовый 3" xfId="46"/>
    <cellStyle name="Финансовый 3 2" xfId="47"/>
    <cellStyle name="Финансовый 4" xfId="4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19" sqref="F19"/>
    </sheetView>
  </sheetViews>
  <sheetFormatPr defaultRowHeight="13.5" x14ac:dyDescent="0.25"/>
  <cols>
    <col min="1" max="3" width="7.28515625" style="20" customWidth="1"/>
    <col min="4" max="4" width="9.140625" style="20"/>
    <col min="5" max="5" width="12.28515625" style="20" customWidth="1"/>
    <col min="6" max="6" width="45.140625" style="20" customWidth="1"/>
    <col min="7" max="10" width="12.85546875" style="19" customWidth="1"/>
    <col min="11" max="11" width="12.85546875" style="20" customWidth="1"/>
    <col min="12" max="16384" width="9.140625" style="20"/>
  </cols>
  <sheetData>
    <row r="1" spans="1:14" s="32" customFormat="1" ht="23.25" customHeight="1" x14ac:dyDescent="0.3">
      <c r="G1" s="2"/>
      <c r="H1" s="3" t="s">
        <v>10</v>
      </c>
      <c r="I1" s="3"/>
      <c r="J1" s="31"/>
    </row>
    <row r="2" spans="1:14" s="32" customFormat="1" x14ac:dyDescent="0.25">
      <c r="G2" s="3" t="s">
        <v>11</v>
      </c>
      <c r="H2" s="3"/>
      <c r="I2" s="3"/>
      <c r="J2" s="31"/>
    </row>
    <row r="3" spans="1:14" s="32" customFormat="1" ht="27" customHeight="1" thickBot="1" x14ac:dyDescent="0.3">
      <c r="A3" s="549" t="s">
        <v>380</v>
      </c>
      <c r="B3" s="549"/>
      <c r="C3" s="549"/>
      <c r="D3" s="549"/>
      <c r="E3" s="549"/>
      <c r="F3" s="549"/>
      <c r="G3" s="549"/>
      <c r="H3" s="3"/>
      <c r="I3" s="3"/>
      <c r="J3" s="31"/>
    </row>
    <row r="4" spans="1:14" s="32" customFormat="1" ht="14.25" x14ac:dyDescent="0.25">
      <c r="A4" s="558" t="s">
        <v>12</v>
      </c>
      <c r="B4" s="558"/>
      <c r="C4" s="558"/>
      <c r="D4" s="558"/>
      <c r="G4" s="24"/>
      <c r="H4" s="3"/>
      <c r="I4" s="3"/>
      <c r="J4" s="31"/>
    </row>
    <row r="5" spans="1:14" s="32" customFormat="1" x14ac:dyDescent="0.25">
      <c r="G5" s="10"/>
      <c r="H5" s="10"/>
      <c r="I5" s="10"/>
      <c r="J5" s="31"/>
    </row>
    <row r="6" spans="1:14" s="32" customFormat="1" ht="13.7" customHeight="1" x14ac:dyDescent="0.25">
      <c r="G6" s="9"/>
      <c r="H6" s="10"/>
      <c r="I6" s="10"/>
      <c r="J6" s="345"/>
    </row>
    <row r="7" spans="1:14" s="249" customFormat="1" ht="13.7" customHeight="1" x14ac:dyDescent="0.25">
      <c r="A7" s="555" t="s">
        <v>295</v>
      </c>
      <c r="B7" s="555" t="s">
        <v>296</v>
      </c>
      <c r="C7" s="555" t="s">
        <v>297</v>
      </c>
      <c r="D7" s="555" t="s">
        <v>298</v>
      </c>
      <c r="E7" s="555"/>
      <c r="F7" s="555" t="s">
        <v>325</v>
      </c>
      <c r="G7" s="553" t="s">
        <v>310</v>
      </c>
      <c r="H7" s="553" t="s">
        <v>305</v>
      </c>
      <c r="I7" s="553" t="s">
        <v>306</v>
      </c>
      <c r="J7" s="556" t="s">
        <v>308</v>
      </c>
      <c r="K7" s="556" t="s">
        <v>309</v>
      </c>
      <c r="L7" s="248"/>
      <c r="M7" s="248"/>
      <c r="N7" s="248"/>
    </row>
    <row r="8" spans="1:14" s="249" customFormat="1" ht="26.25" customHeight="1" x14ac:dyDescent="0.25">
      <c r="A8" s="555"/>
      <c r="B8" s="555"/>
      <c r="C8" s="555"/>
      <c r="D8" s="398" t="s">
        <v>299</v>
      </c>
      <c r="E8" s="398" t="s">
        <v>300</v>
      </c>
      <c r="F8" s="555"/>
      <c r="G8" s="554"/>
      <c r="H8" s="554"/>
      <c r="I8" s="554"/>
      <c r="J8" s="557"/>
      <c r="K8" s="557"/>
      <c r="L8" s="248"/>
      <c r="M8" s="248"/>
      <c r="N8" s="248"/>
    </row>
    <row r="9" spans="1:14" s="249" customFormat="1" ht="12.75" x14ac:dyDescent="0.25">
      <c r="A9" s="401">
        <v>1</v>
      </c>
      <c r="B9" s="401">
        <v>2</v>
      </c>
      <c r="C9" s="401">
        <v>3</v>
      </c>
      <c r="D9" s="401">
        <v>4</v>
      </c>
      <c r="E9" s="401">
        <v>5</v>
      </c>
      <c r="F9" s="401">
        <v>6</v>
      </c>
      <c r="G9" s="401">
        <v>7</v>
      </c>
      <c r="H9" s="401">
        <v>8</v>
      </c>
      <c r="I9" s="401">
        <v>9</v>
      </c>
      <c r="J9" s="401">
        <v>10</v>
      </c>
      <c r="K9" s="401">
        <v>11</v>
      </c>
      <c r="L9" s="248"/>
      <c r="M9" s="248"/>
      <c r="N9" s="248"/>
    </row>
    <row r="10" spans="1:14" ht="16.5" x14ac:dyDescent="0.25">
      <c r="A10" s="399"/>
      <c r="B10" s="399"/>
      <c r="C10" s="399"/>
      <c r="D10" s="398"/>
      <c r="E10" s="398"/>
      <c r="F10" s="400" t="s">
        <v>301</v>
      </c>
      <c r="G10" s="26"/>
      <c r="H10" s="26"/>
      <c r="I10" s="26"/>
      <c r="J10" s="251"/>
      <c r="K10" s="252"/>
    </row>
    <row r="11" spans="1:14" ht="24.75" customHeight="1" x14ac:dyDescent="0.25">
      <c r="A11" s="550" t="s">
        <v>1141</v>
      </c>
      <c r="B11" s="550" t="s">
        <v>1141</v>
      </c>
      <c r="C11" s="550" t="s">
        <v>1141</v>
      </c>
      <c r="D11" s="550" t="s">
        <v>1142</v>
      </c>
      <c r="E11" s="546"/>
      <c r="F11" s="411" t="s">
        <v>303</v>
      </c>
      <c r="G11" s="18"/>
      <c r="H11" s="18"/>
      <c r="I11" s="18"/>
      <c r="J11" s="18"/>
      <c r="K11" s="18"/>
    </row>
    <row r="12" spans="1:14" ht="31.5" customHeight="1" x14ac:dyDescent="0.25">
      <c r="A12" s="551"/>
      <c r="B12" s="551"/>
      <c r="C12" s="551"/>
      <c r="D12" s="551"/>
      <c r="E12" s="547"/>
      <c r="F12" s="262" t="s">
        <v>307</v>
      </c>
      <c r="G12" s="18">
        <f>+G15+G17+G19</f>
        <v>520263.55999999994</v>
      </c>
      <c r="H12" s="18">
        <f>+H15+H17+H19</f>
        <v>643170.49999999988</v>
      </c>
      <c r="I12" s="18">
        <f>+I15+I17+I19</f>
        <v>640663.6</v>
      </c>
      <c r="J12" s="18">
        <f>+J15+J17+J19</f>
        <v>645056.19999999995</v>
      </c>
      <c r="K12" s="18">
        <f>+K15+K17+K19</f>
        <v>649218.6</v>
      </c>
    </row>
    <row r="13" spans="1:14" ht="24" customHeight="1" x14ac:dyDescent="0.25">
      <c r="A13" s="551"/>
      <c r="B13" s="551"/>
      <c r="C13" s="551"/>
      <c r="D13" s="551"/>
      <c r="E13" s="548"/>
      <c r="F13" s="412" t="s">
        <v>301</v>
      </c>
      <c r="G13" s="18"/>
      <c r="H13" s="18"/>
      <c r="I13" s="18"/>
      <c r="J13" s="18"/>
      <c r="K13" s="18"/>
    </row>
    <row r="14" spans="1:14" ht="31.5" customHeight="1" x14ac:dyDescent="0.25">
      <c r="A14" s="551"/>
      <c r="B14" s="551"/>
      <c r="C14" s="551"/>
      <c r="D14" s="551"/>
      <c r="E14" s="546">
        <v>11001</v>
      </c>
      <c r="F14" s="411" t="s">
        <v>304</v>
      </c>
      <c r="G14" s="18"/>
      <c r="H14" s="18"/>
      <c r="I14" s="18"/>
      <c r="J14" s="18"/>
      <c r="K14" s="18"/>
    </row>
    <row r="15" spans="1:14" ht="31.5" customHeight="1" x14ac:dyDescent="0.25">
      <c r="A15" s="551"/>
      <c r="B15" s="551"/>
      <c r="C15" s="551"/>
      <c r="D15" s="551"/>
      <c r="E15" s="548"/>
      <c r="F15" s="262" t="s">
        <v>316</v>
      </c>
      <c r="G15" s="18">
        <f>+'2-ԸՆԴԱՄԵՆԸ ԾԱԽՍԵՐ'!E16</f>
        <v>520263.55999999994</v>
      </c>
      <c r="H15" s="18">
        <f>+'2-ԸՆԴԱՄԵՆԸ ԾԱԽՍԵՐ'!F16</f>
        <v>637239.29999999993</v>
      </c>
      <c r="I15" s="18">
        <f>+'2-ԸՆԴԱՄԵՆԸ ԾԱԽՍԵՐ'!G16</f>
        <v>640663.6</v>
      </c>
      <c r="J15" s="18">
        <f>+'2-ԸՆԴԱՄԵՆԸ ԾԱԽՍԵՐ'!K16</f>
        <v>645056.19999999995</v>
      </c>
      <c r="K15" s="18">
        <f>+'2-ԸՆԴԱՄԵՆԸ ԾԱԽՍԵՐ'!L16</f>
        <v>649218.6</v>
      </c>
    </row>
    <row r="16" spans="1:14" ht="31.5" customHeight="1" x14ac:dyDescent="0.25">
      <c r="A16" s="551"/>
      <c r="B16" s="551"/>
      <c r="C16" s="551"/>
      <c r="D16" s="551"/>
      <c r="E16" s="546">
        <v>31001</v>
      </c>
      <c r="F16" s="411" t="s">
        <v>302</v>
      </c>
      <c r="G16" s="18"/>
      <c r="H16" s="18"/>
      <c r="I16" s="18"/>
      <c r="J16" s="18"/>
      <c r="K16" s="18"/>
    </row>
    <row r="17" spans="1:11" ht="47.25" customHeight="1" x14ac:dyDescent="0.25">
      <c r="A17" s="551"/>
      <c r="B17" s="551"/>
      <c r="C17" s="551"/>
      <c r="D17" s="551"/>
      <c r="E17" s="548"/>
      <c r="F17" s="262" t="s">
        <v>317</v>
      </c>
      <c r="G17" s="18">
        <f>+'2-ԸՆԴԱՄԵՆԸ ԾԱԽՍԵՐ'!E83</f>
        <v>0</v>
      </c>
      <c r="H17" s="18">
        <f>+'2-ԸՆԴԱՄԵՆԸ ԾԱԽՍԵՐ'!F83</f>
        <v>0</v>
      </c>
      <c r="I17" s="18">
        <f>+'2-ԸՆԴԱՄԵՆԸ ԾԱԽՍԵՐ'!G83</f>
        <v>0</v>
      </c>
      <c r="J17" s="18">
        <f>+'2-ԸՆԴԱՄԵՆԸ ԾԱԽՍԵՐ'!K83</f>
        <v>0</v>
      </c>
      <c r="K17" s="18">
        <f>+'2-ԸՆԴԱՄԵՆԸ ԾԱԽՍԵՐ'!L83</f>
        <v>0</v>
      </c>
    </row>
    <row r="18" spans="1:11" ht="31.5" customHeight="1" x14ac:dyDescent="0.25">
      <c r="A18" s="551"/>
      <c r="B18" s="551"/>
      <c r="C18" s="551"/>
      <c r="D18" s="551"/>
      <c r="E18" s="546">
        <v>31001</v>
      </c>
      <c r="F18" s="411" t="s">
        <v>302</v>
      </c>
      <c r="G18" s="18"/>
      <c r="H18" s="18"/>
      <c r="I18" s="18"/>
      <c r="J18" s="18"/>
      <c r="K18" s="18"/>
    </row>
    <row r="19" spans="1:11" ht="47.25" customHeight="1" x14ac:dyDescent="0.25">
      <c r="A19" s="552"/>
      <c r="B19" s="552"/>
      <c r="C19" s="552"/>
      <c r="D19" s="552"/>
      <c r="E19" s="548"/>
      <c r="F19" s="262" t="s">
        <v>317</v>
      </c>
      <c r="G19" s="18">
        <f>+'2-ԸՆԴԱՄԵՆԸ ԾԱԽՍԵՐ'!E84</f>
        <v>0</v>
      </c>
      <c r="H19" s="18">
        <f>+'2-ԸՆԴԱՄԵՆԸ ԾԱԽՍԵՐ'!F84</f>
        <v>5931.2</v>
      </c>
      <c r="I19" s="18">
        <f>+'2-ԸՆԴԱՄԵՆԸ ԾԱԽՍԵՐ'!G84</f>
        <v>0</v>
      </c>
      <c r="J19" s="18">
        <f>+'2-ԸՆԴԱՄԵՆԸ ԾԱԽՍԵՐ'!K84</f>
        <v>0</v>
      </c>
      <c r="K19" s="18">
        <f>+'2-ԸՆԴԱՄԵՆԸ ԾԱԽՍԵՐ'!L84</f>
        <v>0</v>
      </c>
    </row>
  </sheetData>
  <mergeCells count="20">
    <mergeCell ref="J7:J8"/>
    <mergeCell ref="K7:K8"/>
    <mergeCell ref="H7:H8"/>
    <mergeCell ref="I7:I8"/>
    <mergeCell ref="A4:D4"/>
    <mergeCell ref="E14:E15"/>
    <mergeCell ref="A7:A8"/>
    <mergeCell ref="B7:B8"/>
    <mergeCell ref="C7:C8"/>
    <mergeCell ref="D7:E7"/>
    <mergeCell ref="E11:E13"/>
    <mergeCell ref="A3:G3"/>
    <mergeCell ref="E18:E19"/>
    <mergeCell ref="A11:A19"/>
    <mergeCell ref="B11:B19"/>
    <mergeCell ref="C11:C19"/>
    <mergeCell ref="D11:D19"/>
    <mergeCell ref="G7:G8"/>
    <mergeCell ref="F7:F8"/>
    <mergeCell ref="E16:E17"/>
  </mergeCells>
  <pageMargins left="0.17" right="0.17" top="1" bottom="1" header="0.26" footer="0.5"/>
  <pageSetup paperSize="9" scale="95" orientation="landscape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9"/>
  <sheetViews>
    <sheetView workbookViewId="0">
      <selection activeCell="D32" sqref="D32"/>
    </sheetView>
  </sheetViews>
  <sheetFormatPr defaultRowHeight="17.25" x14ac:dyDescent="0.3"/>
  <cols>
    <col min="1" max="1" width="6.28515625" style="205" customWidth="1"/>
    <col min="2" max="2" width="23.42578125" style="206" customWidth="1"/>
    <col min="3" max="3" width="21" style="206" customWidth="1"/>
    <col min="4" max="4" width="12.28515625" style="206" customWidth="1"/>
    <col min="5" max="5" width="29.85546875" style="206" customWidth="1"/>
    <col min="6" max="6" width="25.28515625" style="206" customWidth="1"/>
    <col min="7" max="9" width="16.140625" style="206" customWidth="1"/>
    <col min="10" max="10" width="12.140625" style="206" customWidth="1"/>
    <col min="11" max="11" width="16" style="206" customWidth="1"/>
    <col min="12" max="12" width="26.85546875" style="206" customWidth="1"/>
    <col min="13" max="16384" width="9.140625" style="206"/>
  </cols>
  <sheetData>
    <row r="1" spans="1:14" s="287" customFormat="1" x14ac:dyDescent="0.3">
      <c r="A1" s="207"/>
      <c r="B1" s="594" t="s">
        <v>312</v>
      </c>
      <c r="C1" s="594"/>
      <c r="D1" s="31"/>
      <c r="F1" s="124"/>
      <c r="G1" s="124"/>
      <c r="H1" s="124"/>
      <c r="I1" s="124"/>
      <c r="J1" s="124"/>
      <c r="K1" s="124"/>
      <c r="L1" s="124"/>
      <c r="N1" s="3"/>
    </row>
    <row r="2" spans="1:14" s="287" customFormat="1" ht="17.25" customHeight="1" x14ac:dyDescent="0.3">
      <c r="A2" s="207"/>
      <c r="F2" s="332"/>
      <c r="G2" s="332"/>
      <c r="H2" s="332"/>
      <c r="I2" s="332"/>
      <c r="J2" s="332"/>
      <c r="K2" s="332"/>
      <c r="L2" s="332"/>
      <c r="N2" s="131"/>
    </row>
    <row r="3" spans="1:14" s="287" customFormat="1" ht="18" thickBot="1" x14ac:dyDescent="0.35">
      <c r="A3" s="207"/>
      <c r="B3" s="577" t="s">
        <v>380</v>
      </c>
      <c r="C3" s="577"/>
      <c r="D3" s="208"/>
      <c r="E3" s="208"/>
      <c r="F3" s="208"/>
      <c r="G3" s="208"/>
      <c r="H3" s="208"/>
      <c r="I3" s="208"/>
      <c r="J3" s="208"/>
      <c r="K3" s="208"/>
      <c r="L3" s="208"/>
    </row>
    <row r="4" spans="1:14" s="288" customFormat="1" ht="27" customHeight="1" x14ac:dyDescent="0.3">
      <c r="A4" s="207"/>
      <c r="B4" s="333" t="s">
        <v>12</v>
      </c>
      <c r="C4" s="333"/>
      <c r="D4" s="209"/>
      <c r="E4" s="333"/>
      <c r="F4" s="209"/>
      <c r="G4" s="209"/>
      <c r="H4" s="209"/>
      <c r="I4" s="209"/>
      <c r="J4" s="209"/>
      <c r="K4" s="209"/>
      <c r="L4" s="209"/>
    </row>
    <row r="5" spans="1:14" s="287" customFormat="1" ht="22.7" customHeight="1" x14ac:dyDescent="0.3">
      <c r="A5" s="359" t="s">
        <v>211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</row>
    <row r="6" spans="1:14" s="287" customFormat="1" ht="22.7" customHeight="1" x14ac:dyDescent="0.3">
      <c r="A6" s="359" t="s">
        <v>233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1:14" s="288" customFormat="1" x14ac:dyDescent="0.3">
      <c r="A7" s="207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4" s="210" customFormat="1" x14ac:dyDescent="0.3">
      <c r="A8" s="207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4" s="210" customFormat="1" x14ac:dyDescent="0.3">
      <c r="A9" s="207"/>
      <c r="B9" s="594"/>
      <c r="C9" s="594"/>
      <c r="D9" s="209"/>
      <c r="E9" s="209"/>
      <c r="F9" s="346"/>
      <c r="G9" s="346"/>
      <c r="H9" s="346"/>
      <c r="I9" s="346"/>
      <c r="J9" s="346"/>
      <c r="K9" s="346"/>
      <c r="L9" s="346" t="s">
        <v>231</v>
      </c>
    </row>
    <row r="10" spans="1:14" s="210" customFormat="1" x14ac:dyDescent="0.3">
      <c r="A10" s="207"/>
      <c r="B10" s="209"/>
      <c r="C10" s="209"/>
      <c r="D10" s="209"/>
      <c r="E10" s="209"/>
      <c r="F10" s="346"/>
      <c r="G10" s="346"/>
      <c r="H10" s="346"/>
      <c r="I10" s="346"/>
      <c r="J10" s="346"/>
      <c r="K10" s="346"/>
      <c r="L10" s="346"/>
    </row>
    <row r="11" spans="1:14" s="168" customFormat="1" ht="132" customHeight="1" x14ac:dyDescent="0.25">
      <c r="A11" s="212" t="s">
        <v>97</v>
      </c>
      <c r="B11" s="259" t="s">
        <v>238</v>
      </c>
      <c r="C11" s="259" t="s">
        <v>234</v>
      </c>
      <c r="D11" s="259" t="s">
        <v>237</v>
      </c>
      <c r="E11" s="259" t="s">
        <v>266</v>
      </c>
      <c r="F11" s="259" t="s">
        <v>275</v>
      </c>
      <c r="G11" s="259" t="s">
        <v>276</v>
      </c>
      <c r="H11" s="259" t="s">
        <v>277</v>
      </c>
      <c r="I11" s="259" t="s">
        <v>278</v>
      </c>
      <c r="J11" s="259" t="s">
        <v>279</v>
      </c>
      <c r="K11" s="259" t="s">
        <v>236</v>
      </c>
      <c r="L11" s="259" t="s">
        <v>267</v>
      </c>
    </row>
    <row r="12" spans="1:14" s="168" customFormat="1" ht="13.5" x14ac:dyDescent="0.25">
      <c r="A12" s="212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9</v>
      </c>
      <c r="H12" s="30">
        <v>9</v>
      </c>
      <c r="I12" s="30">
        <v>7</v>
      </c>
      <c r="J12" s="30">
        <v>8</v>
      </c>
      <c r="K12" s="30">
        <v>9</v>
      </c>
      <c r="L12" s="30">
        <v>10</v>
      </c>
    </row>
    <row r="13" spans="1:14" s="168" customFormat="1" ht="40.5" customHeight="1" x14ac:dyDescent="0.25">
      <c r="A13" s="387"/>
      <c r="B13" s="388" t="s">
        <v>264</v>
      </c>
      <c r="C13" s="388"/>
      <c r="D13" s="388"/>
      <c r="E13" s="388"/>
      <c r="F13" s="388"/>
      <c r="G13" s="388"/>
      <c r="H13" s="388"/>
      <c r="I13" s="388" t="s">
        <v>1</v>
      </c>
      <c r="J13" s="388"/>
      <c r="K13" s="388"/>
      <c r="L13" s="388"/>
    </row>
    <row r="14" spans="1:14" ht="51.75" x14ac:dyDescent="0.3">
      <c r="A14" s="213">
        <v>1</v>
      </c>
      <c r="B14" s="482" t="s">
        <v>426</v>
      </c>
      <c r="C14" s="482" t="s">
        <v>427</v>
      </c>
      <c r="D14" s="483">
        <v>300</v>
      </c>
      <c r="E14" s="482" t="s">
        <v>428</v>
      </c>
      <c r="F14" s="482" t="s">
        <v>1144</v>
      </c>
      <c r="G14" s="484">
        <v>600</v>
      </c>
      <c r="H14" s="484">
        <v>435</v>
      </c>
      <c r="I14" s="213"/>
      <c r="J14" s="482"/>
      <c r="K14" s="482"/>
      <c r="L14" s="482"/>
    </row>
    <row r="15" spans="1:14" ht="86.25" x14ac:dyDescent="0.3">
      <c r="A15" s="213">
        <v>2</v>
      </c>
      <c r="B15" s="482" t="s">
        <v>429</v>
      </c>
      <c r="C15" s="482" t="s">
        <v>427</v>
      </c>
      <c r="D15" s="483">
        <v>480</v>
      </c>
      <c r="E15" s="482" t="s">
        <v>430</v>
      </c>
      <c r="F15" s="482" t="s">
        <v>1145</v>
      </c>
      <c r="G15" s="484">
        <v>500</v>
      </c>
      <c r="H15" s="484">
        <v>300</v>
      </c>
      <c r="I15" s="213" t="s">
        <v>1</v>
      </c>
      <c r="J15" s="482"/>
      <c r="K15" s="482"/>
      <c r="L15" s="482"/>
    </row>
    <row r="16" spans="1:14" x14ac:dyDescent="0.3">
      <c r="A16" s="213">
        <v>3</v>
      </c>
      <c r="B16" s="482"/>
      <c r="C16" s="482"/>
      <c r="D16" s="483"/>
      <c r="E16" s="482"/>
      <c r="F16" s="482"/>
      <c r="G16" s="484"/>
      <c r="H16" s="484"/>
      <c r="I16" s="213" t="s">
        <v>1</v>
      </c>
      <c r="J16" s="482"/>
      <c r="K16" s="482"/>
      <c r="L16" s="482"/>
    </row>
    <row r="17" spans="1:12" x14ac:dyDescent="0.3">
      <c r="A17" s="213" t="s">
        <v>204</v>
      </c>
      <c r="B17" s="482"/>
      <c r="C17" s="482"/>
      <c r="D17" s="483"/>
      <c r="E17" s="482"/>
      <c r="F17" s="482"/>
      <c r="G17" s="484"/>
      <c r="H17" s="484"/>
      <c r="I17" s="213"/>
      <c r="J17" s="482"/>
      <c r="K17" s="482"/>
      <c r="L17" s="482"/>
    </row>
    <row r="18" spans="1:12" s="168" customFormat="1" ht="32.25" customHeight="1" x14ac:dyDescent="0.25">
      <c r="A18" s="387"/>
      <c r="B18" s="485" t="s">
        <v>265</v>
      </c>
      <c r="C18" s="485"/>
      <c r="D18" s="334"/>
      <c r="E18" s="388"/>
      <c r="F18" s="388"/>
      <c r="G18" s="334"/>
      <c r="H18" s="334"/>
      <c r="I18" s="388" t="s">
        <v>1</v>
      </c>
      <c r="J18" s="482"/>
      <c r="K18" s="388"/>
      <c r="L18" s="388"/>
    </row>
    <row r="19" spans="1:12" ht="86.25" x14ac:dyDescent="0.3">
      <c r="A19" s="213">
        <v>1</v>
      </c>
      <c r="B19" s="482" t="s">
        <v>431</v>
      </c>
      <c r="C19" s="482" t="s">
        <v>432</v>
      </c>
      <c r="D19" s="483">
        <v>348.2</v>
      </c>
      <c r="E19" s="482"/>
      <c r="F19" s="482" t="s">
        <v>1146</v>
      </c>
      <c r="G19" s="484">
        <v>200</v>
      </c>
      <c r="H19" s="484">
        <v>50</v>
      </c>
      <c r="I19" s="213" t="s">
        <v>1</v>
      </c>
      <c r="J19" s="482"/>
      <c r="K19" s="482"/>
      <c r="L19" s="482" t="s">
        <v>433</v>
      </c>
    </row>
    <row r="20" spans="1:12" ht="51.75" x14ac:dyDescent="0.3">
      <c r="A20" s="213">
        <v>2</v>
      </c>
      <c r="B20" s="482" t="s">
        <v>434</v>
      </c>
      <c r="C20" s="482" t="s">
        <v>435</v>
      </c>
      <c r="D20" s="483">
        <v>60</v>
      </c>
      <c r="E20" s="482"/>
      <c r="F20" s="482"/>
      <c r="G20" s="484"/>
      <c r="H20" s="484"/>
      <c r="I20" s="213" t="s">
        <v>1</v>
      </c>
      <c r="J20" s="482"/>
      <c r="K20" s="482"/>
      <c r="L20" s="482" t="s">
        <v>436</v>
      </c>
    </row>
    <row r="21" spans="1:12" ht="51.75" x14ac:dyDescent="0.3">
      <c r="A21" s="213">
        <v>3</v>
      </c>
      <c r="B21" s="482" t="s">
        <v>442</v>
      </c>
      <c r="C21" s="482" t="s">
        <v>1143</v>
      </c>
      <c r="D21" s="483">
        <v>100</v>
      </c>
      <c r="E21" s="482"/>
      <c r="F21" s="482"/>
      <c r="G21" s="484"/>
      <c r="H21" s="484"/>
      <c r="I21" s="213"/>
      <c r="J21" s="482"/>
      <c r="K21" s="482"/>
      <c r="L21" s="482" t="s">
        <v>436</v>
      </c>
    </row>
    <row r="22" spans="1:12" ht="51.75" x14ac:dyDescent="0.3">
      <c r="A22" s="213">
        <v>4</v>
      </c>
      <c r="B22" s="482" t="s">
        <v>437</v>
      </c>
      <c r="C22" s="482" t="s">
        <v>432</v>
      </c>
      <c r="D22" s="483">
        <v>60</v>
      </c>
      <c r="E22" s="482"/>
      <c r="F22" s="482"/>
      <c r="G22" s="484"/>
      <c r="H22" s="484"/>
      <c r="I22" s="213" t="s">
        <v>1</v>
      </c>
      <c r="J22" s="482"/>
      <c r="K22" s="482"/>
      <c r="L22" s="482" t="s">
        <v>436</v>
      </c>
    </row>
    <row r="23" spans="1:12" x14ac:dyDescent="0.3">
      <c r="A23" s="213" t="s">
        <v>204</v>
      </c>
      <c r="B23" s="482"/>
      <c r="C23" s="482"/>
      <c r="D23" s="483"/>
      <c r="E23" s="482"/>
      <c r="F23" s="482"/>
      <c r="G23" s="213"/>
      <c r="H23" s="213"/>
      <c r="I23" s="213"/>
      <c r="J23" s="482"/>
      <c r="K23" s="482"/>
      <c r="L23" s="482"/>
    </row>
    <row r="24" spans="1:12" s="168" customFormat="1" ht="32.25" customHeight="1" x14ac:dyDescent="0.25">
      <c r="A24" s="387"/>
      <c r="B24" s="485" t="s">
        <v>263</v>
      </c>
      <c r="C24" s="485"/>
      <c r="D24" s="388"/>
      <c r="E24" s="388"/>
      <c r="F24" s="388"/>
      <c r="G24" s="388"/>
      <c r="H24" s="388"/>
      <c r="I24" s="388"/>
      <c r="J24" s="482"/>
      <c r="K24" s="388"/>
      <c r="L24" s="482"/>
    </row>
    <row r="25" spans="1:12" ht="51.75" x14ac:dyDescent="0.3">
      <c r="A25" s="213">
        <v>1</v>
      </c>
      <c r="B25" s="482" t="s">
        <v>438</v>
      </c>
      <c r="C25" s="482" t="s">
        <v>439</v>
      </c>
      <c r="D25" s="215">
        <v>3453.3</v>
      </c>
      <c r="E25" s="482" t="s">
        <v>440</v>
      </c>
      <c r="F25" s="482" t="s">
        <v>1147</v>
      </c>
      <c r="G25" s="213">
        <v>10800.9</v>
      </c>
      <c r="H25" s="213"/>
      <c r="I25" s="213"/>
      <c r="J25" s="482"/>
      <c r="K25" s="482" t="s">
        <v>1140</v>
      </c>
      <c r="L25" s="482" t="s">
        <v>441</v>
      </c>
    </row>
    <row r="26" spans="1:12" x14ac:dyDescent="0.3">
      <c r="A26" s="213">
        <v>2</v>
      </c>
      <c r="B26" s="482"/>
      <c r="C26" s="482"/>
      <c r="D26" s="483"/>
      <c r="E26" s="482"/>
      <c r="F26" s="482"/>
      <c r="G26" s="484"/>
      <c r="H26" s="484"/>
      <c r="I26" s="213"/>
      <c r="J26" s="482"/>
      <c r="K26" s="482"/>
      <c r="L26" s="482"/>
    </row>
    <row r="27" spans="1:12" x14ac:dyDescent="0.3">
      <c r="A27" s="213">
        <v>3</v>
      </c>
      <c r="B27" s="482"/>
      <c r="C27" s="482"/>
      <c r="D27" s="215"/>
      <c r="E27" s="482"/>
      <c r="F27" s="482"/>
      <c r="G27" s="213"/>
      <c r="H27" s="213"/>
      <c r="I27" s="213"/>
      <c r="J27" s="482"/>
      <c r="K27" s="482"/>
      <c r="L27" s="482"/>
    </row>
    <row r="28" spans="1:12" x14ac:dyDescent="0.3">
      <c r="A28" s="213" t="s">
        <v>204</v>
      </c>
      <c r="B28" s="482"/>
      <c r="C28" s="482"/>
      <c r="D28" s="215"/>
      <c r="E28" s="482"/>
      <c r="F28" s="482"/>
      <c r="G28" s="213"/>
      <c r="H28" s="213"/>
      <c r="I28" s="213"/>
      <c r="J28" s="482"/>
      <c r="K28" s="482"/>
      <c r="L28" s="482"/>
    </row>
    <row r="29" spans="1:12" s="168" customFormat="1" ht="32.25" customHeight="1" x14ac:dyDescent="0.3">
      <c r="A29" s="387"/>
      <c r="B29" s="486" t="s">
        <v>235</v>
      </c>
      <c r="C29" s="485"/>
      <c r="D29" s="388">
        <v>4801.5</v>
      </c>
      <c r="E29" s="485"/>
      <c r="F29" s="485" t="s">
        <v>1148</v>
      </c>
      <c r="G29" s="388">
        <v>12100.9</v>
      </c>
      <c r="H29" s="545">
        <v>785</v>
      </c>
      <c r="I29" s="389">
        <f>SUM(I25:I28)</f>
        <v>0</v>
      </c>
      <c r="J29" s="482"/>
      <c r="K29" s="485" t="s">
        <v>1140</v>
      </c>
      <c r="L29" s="485"/>
    </row>
  </sheetData>
  <mergeCells count="3">
    <mergeCell ref="B1:C1"/>
    <mergeCell ref="B3:C3"/>
    <mergeCell ref="B9:C9"/>
  </mergeCells>
  <pageMargins left="0.35" right="0.35" top="0.28999999999999998" bottom="0.37" header="0.21" footer="0.16"/>
  <pageSetup paperSize="9" scale="65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6" workbookViewId="0">
      <selection activeCell="E77" sqref="E77"/>
    </sheetView>
  </sheetViews>
  <sheetFormatPr defaultRowHeight="17.25" x14ac:dyDescent="0.3"/>
  <cols>
    <col min="1" max="1" width="6.28515625" style="205" customWidth="1"/>
    <col min="2" max="2" width="70.85546875" style="206" customWidth="1"/>
    <col min="3" max="3" width="18" style="206" customWidth="1"/>
    <col min="4" max="16384" width="9.140625" style="206"/>
  </cols>
  <sheetData>
    <row r="1" spans="1:8" s="287" customFormat="1" x14ac:dyDescent="0.3">
      <c r="A1" s="207"/>
      <c r="C1" s="124" t="s">
        <v>153</v>
      </c>
    </row>
    <row r="2" spans="1:8" s="287" customFormat="1" x14ac:dyDescent="0.3">
      <c r="A2" s="207"/>
      <c r="C2" s="332" t="s">
        <v>11</v>
      </c>
    </row>
    <row r="3" spans="1:8" s="287" customFormat="1" ht="18" thickBot="1" x14ac:dyDescent="0.35">
      <c r="A3" s="207"/>
      <c r="B3" s="599" t="s">
        <v>380</v>
      </c>
      <c r="C3" s="599"/>
    </row>
    <row r="4" spans="1:8" s="328" customFormat="1" ht="17.25" customHeight="1" x14ac:dyDescent="0.25">
      <c r="A4" s="286"/>
      <c r="B4" s="598" t="s">
        <v>12</v>
      </c>
      <c r="C4" s="598"/>
      <c r="D4" s="295"/>
      <c r="E4" s="295"/>
      <c r="F4" s="295"/>
      <c r="G4" s="295"/>
      <c r="H4" s="295"/>
    </row>
    <row r="5" spans="1:8" s="287" customFormat="1" ht="24" customHeight="1" x14ac:dyDescent="0.3">
      <c r="A5" s="596" t="s">
        <v>122</v>
      </c>
      <c r="B5" s="596"/>
      <c r="C5" s="596"/>
    </row>
    <row r="6" spans="1:8" s="287" customFormat="1" x14ac:dyDescent="0.3">
      <c r="A6" s="597" t="s">
        <v>214</v>
      </c>
      <c r="B6" s="597"/>
      <c r="C6" s="597"/>
    </row>
    <row r="7" spans="1:8" s="288" customFormat="1" x14ac:dyDescent="0.3">
      <c r="A7" s="207"/>
      <c r="B7" s="209"/>
      <c r="C7" s="209"/>
    </row>
    <row r="8" spans="1:8" s="210" customFormat="1" x14ac:dyDescent="0.3">
      <c r="A8" s="207"/>
      <c r="B8" s="211"/>
      <c r="C8" s="211"/>
    </row>
    <row r="9" spans="1:8" s="210" customFormat="1" ht="31.7" customHeight="1" x14ac:dyDescent="0.3">
      <c r="A9" s="207"/>
      <c r="B9" s="595" t="s">
        <v>221</v>
      </c>
      <c r="C9" s="595"/>
    </row>
    <row r="10" spans="1:8" s="210" customFormat="1" x14ac:dyDescent="0.3">
      <c r="A10" s="207"/>
      <c r="B10" s="209"/>
      <c r="C10" s="209"/>
    </row>
    <row r="11" spans="1:8" s="168" customFormat="1" ht="35.25" customHeight="1" x14ac:dyDescent="0.25">
      <c r="A11" s="212" t="s">
        <v>97</v>
      </c>
      <c r="B11" s="30" t="s">
        <v>154</v>
      </c>
      <c r="C11" s="30" t="s">
        <v>155</v>
      </c>
    </row>
    <row r="12" spans="1:8" s="168" customFormat="1" ht="13.5" x14ac:dyDescent="0.25">
      <c r="A12" s="212">
        <v>1</v>
      </c>
      <c r="B12" s="30">
        <v>2</v>
      </c>
      <c r="C12" s="30">
        <v>3</v>
      </c>
    </row>
    <row r="13" spans="1:8" x14ac:dyDescent="0.3">
      <c r="A13" s="213" t="s">
        <v>2</v>
      </c>
      <c r="B13" s="214" t="s">
        <v>443</v>
      </c>
      <c r="C13" s="213">
        <f>SUM(C14:C19)</f>
        <v>8</v>
      </c>
    </row>
    <row r="14" spans="1:8" x14ac:dyDescent="0.3">
      <c r="A14" s="213">
        <v>1</v>
      </c>
      <c r="B14" s="215" t="s">
        <v>444</v>
      </c>
      <c r="C14" s="213">
        <v>1</v>
      </c>
    </row>
    <row r="15" spans="1:8" x14ac:dyDescent="0.3">
      <c r="A15" s="213">
        <v>2</v>
      </c>
      <c r="B15" s="215" t="s">
        <v>445</v>
      </c>
      <c r="C15" s="213">
        <v>3</v>
      </c>
    </row>
    <row r="16" spans="1:8" x14ac:dyDescent="0.3">
      <c r="A16" s="213">
        <v>3</v>
      </c>
      <c r="B16" s="215" t="s">
        <v>446</v>
      </c>
      <c r="C16" s="213">
        <v>2</v>
      </c>
    </row>
    <row r="17" spans="1:3" x14ac:dyDescent="0.3">
      <c r="A17" s="213">
        <v>4</v>
      </c>
      <c r="B17" s="215" t="s">
        <v>447</v>
      </c>
      <c r="C17" s="213">
        <v>2</v>
      </c>
    </row>
    <row r="18" spans="1:3" x14ac:dyDescent="0.3">
      <c r="A18" s="213">
        <v>5</v>
      </c>
      <c r="B18" s="487" t="s">
        <v>448</v>
      </c>
      <c r="C18" s="488"/>
    </row>
    <row r="19" spans="1:3" x14ac:dyDescent="0.3">
      <c r="A19" s="213">
        <v>6</v>
      </c>
      <c r="B19" s="487" t="s">
        <v>449</v>
      </c>
      <c r="C19" s="488"/>
    </row>
    <row r="20" spans="1:3" x14ac:dyDescent="0.3">
      <c r="A20" s="213" t="s">
        <v>3</v>
      </c>
      <c r="B20" s="214" t="s">
        <v>215</v>
      </c>
      <c r="C20" s="213">
        <f>+C21+C22+C23</f>
        <v>3</v>
      </c>
    </row>
    <row r="21" spans="1:3" x14ac:dyDescent="0.3">
      <c r="A21" s="213"/>
      <c r="B21" s="329" t="s">
        <v>476</v>
      </c>
      <c r="C21" s="213">
        <v>3</v>
      </c>
    </row>
    <row r="22" spans="1:3" x14ac:dyDescent="0.3">
      <c r="A22" s="213"/>
      <c r="B22" s="329" t="s">
        <v>216</v>
      </c>
      <c r="C22" s="213"/>
    </row>
    <row r="23" spans="1:3" x14ac:dyDescent="0.3">
      <c r="A23" s="213"/>
      <c r="B23" s="329" t="s">
        <v>217</v>
      </c>
      <c r="C23" s="213"/>
    </row>
    <row r="24" spans="1:3" x14ac:dyDescent="0.3">
      <c r="A24" s="213" t="s">
        <v>4</v>
      </c>
      <c r="B24" s="214" t="s">
        <v>450</v>
      </c>
      <c r="C24" s="213">
        <f>SUM(C25:C26)</f>
        <v>2</v>
      </c>
    </row>
    <row r="25" spans="1:3" x14ac:dyDescent="0.3">
      <c r="A25" s="213"/>
      <c r="B25" s="329" t="s">
        <v>83</v>
      </c>
      <c r="C25" s="213">
        <v>1</v>
      </c>
    </row>
    <row r="26" spans="1:3" x14ac:dyDescent="0.3">
      <c r="A26" s="213"/>
      <c r="B26" s="329" t="s">
        <v>84</v>
      </c>
      <c r="C26" s="213">
        <v>1</v>
      </c>
    </row>
    <row r="27" spans="1:3" x14ac:dyDescent="0.3">
      <c r="A27" s="212"/>
      <c r="B27" s="214" t="s">
        <v>156</v>
      </c>
      <c r="C27" s="213">
        <f>SUM(C29:C34)</f>
        <v>45</v>
      </c>
    </row>
    <row r="28" spans="1:3" x14ac:dyDescent="0.3">
      <c r="A28" s="213"/>
      <c r="B28" s="184" t="s">
        <v>145</v>
      </c>
      <c r="C28" s="213"/>
    </row>
    <row r="29" spans="1:3" s="491" customFormat="1" x14ac:dyDescent="0.3">
      <c r="A29" s="489">
        <v>1</v>
      </c>
      <c r="B29" s="490" t="s">
        <v>451</v>
      </c>
      <c r="C29" s="488">
        <v>8</v>
      </c>
    </row>
    <row r="30" spans="1:3" s="491" customFormat="1" x14ac:dyDescent="0.3">
      <c r="A30" s="489">
        <v>2</v>
      </c>
      <c r="B30" s="490" t="s">
        <v>452</v>
      </c>
      <c r="C30" s="488">
        <v>9</v>
      </c>
    </row>
    <row r="31" spans="1:3" s="491" customFormat="1" x14ac:dyDescent="0.3">
      <c r="A31" s="489">
        <v>3</v>
      </c>
      <c r="B31" s="490" t="s">
        <v>453</v>
      </c>
      <c r="C31" s="488">
        <v>6</v>
      </c>
    </row>
    <row r="32" spans="1:3" s="491" customFormat="1" x14ac:dyDescent="0.3">
      <c r="A32" s="489">
        <v>4</v>
      </c>
      <c r="B32" s="490" t="s">
        <v>454</v>
      </c>
      <c r="C32" s="488">
        <v>9</v>
      </c>
    </row>
    <row r="33" spans="1:3" s="491" customFormat="1" x14ac:dyDescent="0.3">
      <c r="A33" s="489">
        <v>5</v>
      </c>
      <c r="B33" s="490" t="s">
        <v>455</v>
      </c>
      <c r="C33" s="488">
        <v>6</v>
      </c>
    </row>
    <row r="34" spans="1:3" s="491" customFormat="1" ht="34.5" x14ac:dyDescent="0.3">
      <c r="A34" s="489">
        <v>6</v>
      </c>
      <c r="B34" s="492" t="s">
        <v>456</v>
      </c>
      <c r="C34" s="488">
        <v>7</v>
      </c>
    </row>
    <row r="35" spans="1:3" s="491" customFormat="1" x14ac:dyDescent="0.3">
      <c r="A35" s="489"/>
      <c r="B35" s="492"/>
      <c r="C35" s="488"/>
    </row>
    <row r="36" spans="1:3" x14ac:dyDescent="0.3">
      <c r="A36" s="212"/>
      <c r="B36" s="214" t="s">
        <v>157</v>
      </c>
      <c r="C36" s="330">
        <v>7</v>
      </c>
    </row>
    <row r="37" spans="1:3" x14ac:dyDescent="0.3">
      <c r="A37" s="213"/>
      <c r="B37" s="217"/>
      <c r="C37" s="213"/>
    </row>
    <row r="38" spans="1:3" x14ac:dyDescent="0.3">
      <c r="A38" s="212"/>
      <c r="B38" s="214" t="s">
        <v>158</v>
      </c>
      <c r="C38" s="213">
        <f>SUM(C40:C47)</f>
        <v>27</v>
      </c>
    </row>
    <row r="39" spans="1:3" x14ac:dyDescent="0.3">
      <c r="A39" s="213"/>
      <c r="B39" s="184" t="s">
        <v>145</v>
      </c>
      <c r="C39" s="213"/>
    </row>
    <row r="40" spans="1:3" s="491" customFormat="1" x14ac:dyDescent="0.3">
      <c r="A40" s="489">
        <v>1</v>
      </c>
      <c r="B40" s="490" t="s">
        <v>457</v>
      </c>
      <c r="C40" s="488">
        <v>2</v>
      </c>
    </row>
    <row r="41" spans="1:3" s="491" customFormat="1" x14ac:dyDescent="0.3">
      <c r="A41" s="489">
        <v>2</v>
      </c>
      <c r="B41" s="490" t="s">
        <v>458</v>
      </c>
      <c r="C41" s="488">
        <v>2</v>
      </c>
    </row>
    <row r="42" spans="1:3" s="491" customFormat="1" x14ac:dyDescent="0.3">
      <c r="A42" s="489">
        <v>3</v>
      </c>
      <c r="B42" s="490" t="s">
        <v>459</v>
      </c>
      <c r="C42" s="488">
        <v>4</v>
      </c>
    </row>
    <row r="43" spans="1:3" s="491" customFormat="1" ht="34.5" x14ac:dyDescent="0.3">
      <c r="A43" s="489">
        <v>4</v>
      </c>
      <c r="B43" s="492" t="s">
        <v>460</v>
      </c>
      <c r="C43" s="488">
        <v>6</v>
      </c>
    </row>
    <row r="44" spans="1:3" s="493" customFormat="1" ht="30.75" customHeight="1" x14ac:dyDescent="0.3">
      <c r="A44" s="489">
        <v>5</v>
      </c>
      <c r="B44" s="490" t="s">
        <v>461</v>
      </c>
      <c r="C44" s="488">
        <v>3</v>
      </c>
    </row>
    <row r="45" spans="1:3" s="491" customFormat="1" x14ac:dyDescent="0.3">
      <c r="A45" s="489">
        <v>6</v>
      </c>
      <c r="B45" s="490" t="s">
        <v>462</v>
      </c>
      <c r="C45" s="488">
        <v>4</v>
      </c>
    </row>
    <row r="46" spans="1:3" s="491" customFormat="1" x14ac:dyDescent="0.3">
      <c r="A46" s="489">
        <v>7</v>
      </c>
      <c r="B46" s="490" t="s">
        <v>463</v>
      </c>
      <c r="C46" s="488">
        <v>4</v>
      </c>
    </row>
    <row r="47" spans="1:3" x14ac:dyDescent="0.3">
      <c r="A47" s="489">
        <v>8</v>
      </c>
      <c r="B47" s="490" t="s">
        <v>464</v>
      </c>
      <c r="C47" s="213">
        <v>2</v>
      </c>
    </row>
    <row r="48" spans="1:3" x14ac:dyDescent="0.3">
      <c r="A48" s="216"/>
      <c r="B48" s="215"/>
      <c r="C48" s="213"/>
    </row>
    <row r="49" spans="1:3" x14ac:dyDescent="0.3">
      <c r="A49" s="213" t="s">
        <v>219</v>
      </c>
      <c r="B49" s="214" t="s">
        <v>465</v>
      </c>
      <c r="C49" s="213">
        <f>SUM(C51:C54)</f>
        <v>39</v>
      </c>
    </row>
    <row r="50" spans="1:3" x14ac:dyDescent="0.3">
      <c r="A50" s="213"/>
      <c r="B50" s="184" t="s">
        <v>145</v>
      </c>
      <c r="C50" s="213"/>
    </row>
    <row r="51" spans="1:3" x14ac:dyDescent="0.3">
      <c r="A51" s="489">
        <v>1</v>
      </c>
      <c r="B51" s="490" t="s">
        <v>442</v>
      </c>
      <c r="C51" s="488">
        <v>10</v>
      </c>
    </row>
    <row r="52" spans="1:3" x14ac:dyDescent="0.3">
      <c r="A52" s="489">
        <v>2</v>
      </c>
      <c r="B52" s="490" t="s">
        <v>426</v>
      </c>
      <c r="C52" s="488">
        <v>13</v>
      </c>
    </row>
    <row r="53" spans="1:3" x14ac:dyDescent="0.3">
      <c r="A53" s="489">
        <v>3</v>
      </c>
      <c r="B53" s="490" t="s">
        <v>434</v>
      </c>
      <c r="C53" s="488">
        <v>7</v>
      </c>
    </row>
    <row r="54" spans="1:3" x14ac:dyDescent="0.3">
      <c r="A54" s="488">
        <v>4</v>
      </c>
      <c r="B54" s="490" t="s">
        <v>466</v>
      </c>
      <c r="C54" s="488">
        <v>9</v>
      </c>
    </row>
    <row r="55" spans="1:3" ht="34.5" x14ac:dyDescent="0.3">
      <c r="A55" s="213" t="s">
        <v>9</v>
      </c>
      <c r="B55" s="219" t="s">
        <v>218</v>
      </c>
      <c r="C55" s="213">
        <v>6</v>
      </c>
    </row>
    <row r="56" spans="1:3" x14ac:dyDescent="0.3">
      <c r="A56" s="213"/>
      <c r="B56" s="184"/>
      <c r="C56" s="213"/>
    </row>
    <row r="57" spans="1:3" s="220" customFormat="1" ht="30.75" customHeight="1" x14ac:dyDescent="0.3">
      <c r="A57" s="218"/>
      <c r="B57" s="331" t="s">
        <v>220</v>
      </c>
      <c r="C57" s="218">
        <f>+C13+C20+C24+C27+C36+C38+C49+C55</f>
        <v>137</v>
      </c>
    </row>
  </sheetData>
  <mergeCells count="5">
    <mergeCell ref="B9:C9"/>
    <mergeCell ref="A5:C5"/>
    <mergeCell ref="A6:C6"/>
    <mergeCell ref="B4:C4"/>
    <mergeCell ref="B3:C3"/>
  </mergeCells>
  <phoneticPr fontId="2" type="noConversion"/>
  <pageMargins left="0.24" right="0.35" top="0.37" bottom="0.4" header="0.21" footer="0.19"/>
  <pageSetup paperSize="9" scale="90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5"/>
  <sheetViews>
    <sheetView topLeftCell="V1" workbookViewId="0">
      <selection activeCell="S2" sqref="S2:X2"/>
    </sheetView>
  </sheetViews>
  <sheetFormatPr defaultRowHeight="13.5" x14ac:dyDescent="0.25"/>
  <cols>
    <col min="1" max="1" width="3.5703125" style="4" customWidth="1"/>
    <col min="2" max="2" width="29.42578125" style="20" customWidth="1"/>
    <col min="3" max="3" width="19.28515625" style="5" customWidth="1"/>
    <col min="4" max="4" width="9.5703125" style="5" customWidth="1"/>
    <col min="5" max="5" width="11.140625" style="5" customWidth="1"/>
    <col min="6" max="6" width="15" style="5" customWidth="1"/>
    <col min="7" max="7" width="11" style="5" customWidth="1"/>
    <col min="8" max="8" width="15" style="5" customWidth="1"/>
    <col min="9" max="9" width="13.85546875" style="5" customWidth="1"/>
    <col min="10" max="10" width="10.85546875" style="5" customWidth="1"/>
    <col min="11" max="11" width="14.7109375" style="5" customWidth="1"/>
    <col min="12" max="12" width="10" style="5" customWidth="1"/>
    <col min="13" max="13" width="15" style="5" customWidth="1"/>
    <col min="14" max="14" width="9.42578125" style="5" customWidth="1"/>
    <col min="15" max="15" width="11.85546875" style="5" customWidth="1"/>
    <col min="16" max="16" width="0.140625" style="5" customWidth="1"/>
    <col min="17" max="17" width="9" style="5" customWidth="1"/>
    <col min="18" max="18" width="14.5703125" style="5" customWidth="1"/>
    <col min="19" max="19" width="8.85546875" style="5" customWidth="1"/>
    <col min="20" max="20" width="11.42578125" style="5" customWidth="1"/>
    <col min="21" max="21" width="10.5703125" style="5" customWidth="1"/>
    <col min="22" max="22" width="9.28515625" style="5" customWidth="1"/>
    <col min="23" max="23" width="10.42578125" style="5" customWidth="1"/>
    <col min="24" max="24" width="10" style="5" hidden="1" customWidth="1"/>
    <col min="25" max="25" width="14" style="5" customWidth="1"/>
    <col min="26" max="26" width="8.85546875" style="5" customWidth="1"/>
    <col min="27" max="27" width="11.42578125" style="5" customWidth="1"/>
    <col min="28" max="28" width="10.5703125" style="5" customWidth="1"/>
    <col min="29" max="29" width="9" style="5" customWidth="1"/>
    <col min="30" max="30" width="10.5703125" style="5" customWidth="1"/>
    <col min="31" max="31" width="10" style="5" customWidth="1"/>
    <col min="32" max="32" width="14" style="5" customWidth="1"/>
    <col min="33" max="33" width="8.85546875" style="5" customWidth="1"/>
    <col min="34" max="34" width="11.42578125" style="5" customWidth="1"/>
    <col min="35" max="35" width="10.5703125" style="5" customWidth="1"/>
    <col min="36" max="36" width="9" style="5" customWidth="1"/>
    <col min="37" max="37" width="11.140625" style="5" customWidth="1"/>
    <col min="38" max="16384" width="9.140625" style="5"/>
  </cols>
  <sheetData>
    <row r="1" spans="1:38" ht="16.5" x14ac:dyDescent="0.3">
      <c r="A1" s="31"/>
      <c r="B1" s="438" t="s">
        <v>161</v>
      </c>
      <c r="C1" s="32"/>
      <c r="D1" s="32"/>
      <c r="E1" s="32"/>
      <c r="F1" s="32"/>
      <c r="G1" s="32"/>
      <c r="H1" s="32"/>
      <c r="I1" s="125"/>
      <c r="J1" s="32"/>
      <c r="K1" s="124" t="s">
        <v>229</v>
      </c>
      <c r="L1" s="125"/>
      <c r="M1" s="32"/>
      <c r="N1" s="32"/>
      <c r="O1" s="32"/>
      <c r="P1" s="32"/>
      <c r="Q1" s="125"/>
      <c r="R1" s="125"/>
      <c r="S1" s="125"/>
      <c r="T1" s="32"/>
      <c r="U1" s="124"/>
      <c r="V1" s="125"/>
      <c r="W1" s="32"/>
      <c r="X1" s="32"/>
      <c r="Y1" s="32"/>
      <c r="Z1" s="32"/>
      <c r="AA1" s="32"/>
      <c r="AB1" s="3"/>
      <c r="AC1" s="125"/>
      <c r="AD1" s="125"/>
      <c r="AE1" s="32"/>
      <c r="AF1" s="32"/>
      <c r="AG1" s="32"/>
      <c r="AH1" s="32"/>
      <c r="AI1" s="3"/>
      <c r="AJ1" s="125"/>
      <c r="AK1" s="125"/>
      <c r="AL1" s="39"/>
    </row>
    <row r="2" spans="1:38" ht="24" customHeight="1" thickBot="1" x14ac:dyDescent="0.3">
      <c r="A2" s="31"/>
      <c r="B2" s="439"/>
      <c r="C2" s="164"/>
      <c r="D2" s="164"/>
      <c r="E2" s="23"/>
      <c r="F2" s="164"/>
      <c r="G2" s="164"/>
      <c r="H2" s="164"/>
      <c r="J2" s="131"/>
      <c r="K2" s="332" t="s">
        <v>11</v>
      </c>
      <c r="L2" s="131"/>
      <c r="M2" s="9"/>
      <c r="N2" s="9"/>
      <c r="O2" s="131"/>
      <c r="P2" s="131"/>
      <c r="Q2" s="9"/>
      <c r="R2" s="165"/>
      <c r="S2" s="568"/>
      <c r="T2" s="568"/>
      <c r="U2" s="568"/>
      <c r="V2" s="568"/>
      <c r="W2" s="568"/>
      <c r="X2" s="568"/>
      <c r="Y2" s="9"/>
      <c r="Z2" s="9"/>
      <c r="AA2" s="9"/>
      <c r="AB2" s="165"/>
      <c r="AC2" s="9"/>
      <c r="AD2" s="165"/>
      <c r="AE2" s="131"/>
      <c r="AF2" s="9"/>
      <c r="AG2" s="9"/>
      <c r="AH2" s="9"/>
      <c r="AI2" s="165"/>
      <c r="AJ2" s="9"/>
      <c r="AK2" s="165"/>
      <c r="AL2" s="229"/>
    </row>
    <row r="3" spans="1:38" s="168" customFormat="1" ht="25.5" customHeight="1" x14ac:dyDescent="0.25">
      <c r="A3" s="31"/>
      <c r="B3" s="440" t="s">
        <v>12</v>
      </c>
      <c r="C3" s="125"/>
      <c r="D3" s="125"/>
      <c r="E3" s="166"/>
      <c r="F3" s="125"/>
      <c r="G3" s="32"/>
      <c r="H3" s="32"/>
      <c r="I3" s="32"/>
      <c r="J3" s="32"/>
      <c r="K3" s="43" t="s">
        <v>159</v>
      </c>
      <c r="L3" s="35"/>
      <c r="M3" s="125"/>
      <c r="N3" s="32"/>
      <c r="O3" s="32"/>
      <c r="P3" s="32"/>
      <c r="Q3" s="32"/>
      <c r="R3" s="167"/>
      <c r="S3" s="32"/>
      <c r="T3" s="32"/>
      <c r="U3" s="32"/>
      <c r="V3" s="32"/>
      <c r="W3" s="43" t="s">
        <v>159</v>
      </c>
      <c r="X3" s="35"/>
      <c r="Y3" s="125"/>
      <c r="Z3" s="32"/>
      <c r="AA3" s="32"/>
      <c r="AB3" s="32"/>
      <c r="AC3" s="32"/>
      <c r="AD3" s="167"/>
      <c r="AE3" s="35"/>
      <c r="AF3" s="125"/>
      <c r="AG3" s="32"/>
      <c r="AH3" s="32"/>
      <c r="AI3" s="32"/>
      <c r="AJ3" s="32"/>
      <c r="AK3" s="167"/>
    </row>
    <row r="4" spans="1:38" s="303" customFormat="1" ht="14.25" x14ac:dyDescent="0.25">
      <c r="A4" s="236"/>
      <c r="B4" s="441"/>
      <c r="C4" s="301"/>
      <c r="D4" s="302"/>
      <c r="E4" s="304"/>
      <c r="F4" s="302"/>
      <c r="G4" s="302"/>
      <c r="H4" s="304" t="s">
        <v>243</v>
      </c>
      <c r="I4" s="302"/>
      <c r="J4" s="302"/>
      <c r="K4" s="337"/>
      <c r="L4" s="335"/>
      <c r="M4" s="302"/>
      <c r="N4" s="335"/>
      <c r="O4" s="335" t="s">
        <v>210</v>
      </c>
      <c r="P4" s="335"/>
      <c r="Q4" s="335"/>
      <c r="R4" s="336"/>
      <c r="S4" s="608" t="s">
        <v>160</v>
      </c>
      <c r="T4" s="608"/>
      <c r="U4" s="608"/>
      <c r="V4" s="608"/>
      <c r="W4" s="608"/>
      <c r="X4" s="232" t="s">
        <v>272</v>
      </c>
      <c r="Y4" s="233"/>
      <c r="Z4" s="233"/>
      <c r="AA4" s="233"/>
      <c r="AB4" s="233"/>
      <c r="AC4" s="233"/>
      <c r="AD4" s="338"/>
      <c r="AE4" s="232" t="s">
        <v>315</v>
      </c>
      <c r="AF4" s="233"/>
      <c r="AG4" s="233"/>
      <c r="AH4" s="233"/>
      <c r="AI4" s="233"/>
      <c r="AJ4" s="233"/>
      <c r="AK4" s="338"/>
    </row>
    <row r="5" spans="1:38" s="168" customFormat="1" ht="90.75" customHeight="1" x14ac:dyDescent="0.25">
      <c r="A5" s="221" t="s">
        <v>97</v>
      </c>
      <c r="B5" s="299" t="s">
        <v>162</v>
      </c>
      <c r="C5" s="66" t="s">
        <v>163</v>
      </c>
      <c r="D5" s="66" t="s">
        <v>164</v>
      </c>
      <c r="E5" s="66" t="s">
        <v>155</v>
      </c>
      <c r="F5" s="415" t="s">
        <v>268</v>
      </c>
      <c r="G5" s="416" t="s">
        <v>244</v>
      </c>
      <c r="H5" s="280" t="s">
        <v>324</v>
      </c>
      <c r="I5" s="66" t="s">
        <v>165</v>
      </c>
      <c r="J5" s="66" t="s">
        <v>166</v>
      </c>
      <c r="K5" s="66" t="s">
        <v>226</v>
      </c>
      <c r="L5" s="66" t="s">
        <v>155</v>
      </c>
      <c r="M5" s="415" t="s">
        <v>321</v>
      </c>
      <c r="N5" s="416" t="s">
        <v>223</v>
      </c>
      <c r="O5" s="66" t="s">
        <v>197</v>
      </c>
      <c r="P5" s="66" t="s">
        <v>165</v>
      </c>
      <c r="Q5" s="66" t="s">
        <v>166</v>
      </c>
      <c r="R5" s="66" t="s">
        <v>225</v>
      </c>
      <c r="S5" s="66" t="s">
        <v>155</v>
      </c>
      <c r="T5" s="66" t="s">
        <v>197</v>
      </c>
      <c r="U5" s="66" t="s">
        <v>165</v>
      </c>
      <c r="V5" s="66" t="s">
        <v>166</v>
      </c>
      <c r="W5" s="66" t="s">
        <v>224</v>
      </c>
      <c r="X5" s="66" t="s">
        <v>155</v>
      </c>
      <c r="Y5" s="66" t="s">
        <v>268</v>
      </c>
      <c r="Z5" s="415" t="s">
        <v>271</v>
      </c>
      <c r="AA5" s="66" t="s">
        <v>197</v>
      </c>
      <c r="AB5" s="66" t="s">
        <v>165</v>
      </c>
      <c r="AC5" s="66" t="s">
        <v>166</v>
      </c>
      <c r="AD5" s="66" t="s">
        <v>224</v>
      </c>
      <c r="AE5" s="66" t="s">
        <v>155</v>
      </c>
      <c r="AF5" s="66" t="s">
        <v>270</v>
      </c>
      <c r="AG5" s="415" t="s">
        <v>322</v>
      </c>
      <c r="AH5" s="66" t="s">
        <v>197</v>
      </c>
      <c r="AI5" s="66" t="s">
        <v>165</v>
      </c>
      <c r="AJ5" s="66" t="s">
        <v>166</v>
      </c>
      <c r="AK5" s="66" t="s">
        <v>224</v>
      </c>
    </row>
    <row r="6" spans="1:38" s="36" customFormat="1" ht="12.75" x14ac:dyDescent="0.25">
      <c r="A6" s="114">
        <v>1</v>
      </c>
      <c r="B6" s="300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  <c r="H6" s="114">
        <v>8</v>
      </c>
      <c r="I6" s="114">
        <v>9</v>
      </c>
      <c r="J6" s="114">
        <v>10</v>
      </c>
      <c r="K6" s="114">
        <v>11</v>
      </c>
      <c r="L6" s="114">
        <v>12</v>
      </c>
      <c r="M6" s="114">
        <v>13</v>
      </c>
      <c r="N6" s="114">
        <v>14</v>
      </c>
      <c r="O6" s="114">
        <v>15</v>
      </c>
      <c r="P6" s="114">
        <v>16</v>
      </c>
      <c r="Q6" s="114">
        <v>17</v>
      </c>
      <c r="R6" s="114">
        <v>18</v>
      </c>
      <c r="S6" s="114">
        <v>19</v>
      </c>
      <c r="T6" s="114">
        <v>20</v>
      </c>
      <c r="U6" s="114">
        <v>21</v>
      </c>
      <c r="V6" s="114">
        <v>22</v>
      </c>
      <c r="W6" s="114">
        <v>23</v>
      </c>
      <c r="X6" s="114">
        <v>24</v>
      </c>
      <c r="Y6" s="114">
        <v>25</v>
      </c>
      <c r="Z6" s="114">
        <v>26</v>
      </c>
      <c r="AA6" s="114">
        <v>27</v>
      </c>
      <c r="AB6" s="114">
        <v>28</v>
      </c>
      <c r="AC6" s="114">
        <v>29</v>
      </c>
      <c r="AD6" s="114">
        <v>30</v>
      </c>
      <c r="AE6" s="114">
        <v>31</v>
      </c>
      <c r="AF6" s="114">
        <v>32</v>
      </c>
      <c r="AG6" s="114">
        <v>33</v>
      </c>
      <c r="AH6" s="114">
        <v>34</v>
      </c>
      <c r="AI6" s="114">
        <v>35</v>
      </c>
      <c r="AJ6" s="114">
        <v>36</v>
      </c>
      <c r="AK6" s="114">
        <v>37</v>
      </c>
    </row>
    <row r="7" spans="1:38" ht="18.75" customHeight="1" x14ac:dyDescent="0.25">
      <c r="A7" s="222" t="s">
        <v>2</v>
      </c>
      <c r="B7" s="442" t="s">
        <v>318</v>
      </c>
      <c r="C7" s="224"/>
      <c r="D7" s="224"/>
      <c r="E7" s="223"/>
      <c r="F7" s="224"/>
      <c r="G7" s="224"/>
      <c r="H7" s="224"/>
      <c r="I7" s="224"/>
      <c r="J7" s="224"/>
      <c r="K7" s="224"/>
      <c r="L7" s="223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3"/>
      <c r="Y7" s="224"/>
      <c r="Z7" s="224"/>
      <c r="AA7" s="224"/>
      <c r="AB7" s="224"/>
      <c r="AC7" s="224"/>
      <c r="AD7" s="224"/>
      <c r="AE7" s="223"/>
      <c r="AF7" s="224"/>
      <c r="AG7" s="224"/>
      <c r="AH7" s="224"/>
      <c r="AI7" s="224"/>
      <c r="AJ7" s="224"/>
      <c r="AK7" s="224"/>
    </row>
    <row r="8" spans="1:38" x14ac:dyDescent="0.25">
      <c r="A8" s="212"/>
      <c r="B8" s="282" t="s">
        <v>145</v>
      </c>
      <c r="C8" s="224"/>
      <c r="D8" s="224"/>
      <c r="E8" s="184"/>
      <c r="F8" s="224"/>
      <c r="G8" s="224"/>
      <c r="H8" s="224"/>
      <c r="I8" s="224"/>
      <c r="J8" s="224"/>
      <c r="K8" s="224"/>
      <c r="L8" s="18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184"/>
      <c r="Y8" s="224"/>
      <c r="Z8" s="224"/>
      <c r="AA8" s="224"/>
      <c r="AB8" s="224"/>
      <c r="AC8" s="224"/>
      <c r="AD8" s="224"/>
      <c r="AE8" s="184"/>
      <c r="AF8" s="224"/>
      <c r="AG8" s="224"/>
      <c r="AH8" s="224"/>
      <c r="AI8" s="224"/>
      <c r="AJ8" s="224"/>
      <c r="AK8" s="224"/>
    </row>
    <row r="9" spans="1:38" x14ac:dyDescent="0.25">
      <c r="A9" s="212"/>
      <c r="B9" s="282"/>
      <c r="C9" s="224"/>
      <c r="D9" s="224"/>
      <c r="E9" s="184"/>
      <c r="F9" s="224"/>
      <c r="G9" s="224"/>
      <c r="H9" s="184"/>
      <c r="I9" s="184"/>
      <c r="J9" s="184"/>
      <c r="K9" s="184"/>
      <c r="L9" s="184"/>
      <c r="M9" s="224"/>
      <c r="N9" s="224"/>
      <c r="O9" s="184"/>
      <c r="P9" s="184"/>
      <c r="Q9" s="184"/>
      <c r="R9" s="184"/>
      <c r="S9" s="184"/>
      <c r="T9" s="184"/>
      <c r="U9" s="184"/>
      <c r="V9" s="184"/>
      <c r="W9" s="184"/>
      <c r="X9" s="114"/>
      <c r="Y9" s="224"/>
      <c r="Z9" s="224"/>
      <c r="AA9" s="184"/>
      <c r="AB9" s="184"/>
      <c r="AC9" s="184"/>
      <c r="AD9" s="184"/>
      <c r="AE9" s="184"/>
      <c r="AF9" s="224"/>
      <c r="AG9" s="224"/>
      <c r="AH9" s="184"/>
      <c r="AI9" s="184"/>
      <c r="AJ9" s="184"/>
      <c r="AK9" s="184"/>
    </row>
    <row r="10" spans="1:38" ht="15" x14ac:dyDescent="0.25">
      <c r="A10" s="494">
        <v>1</v>
      </c>
      <c r="B10" s="502" t="s">
        <v>467</v>
      </c>
      <c r="C10" s="495" t="s">
        <v>390</v>
      </c>
      <c r="D10" s="496" t="s">
        <v>1</v>
      </c>
      <c r="E10" s="497">
        <v>1</v>
      </c>
      <c r="F10" s="225" t="s">
        <v>1</v>
      </c>
      <c r="G10" s="503">
        <v>10</v>
      </c>
      <c r="H10" s="500">
        <f>G10*66140</f>
        <v>661400</v>
      </c>
      <c r="I10" s="212"/>
      <c r="J10" s="212"/>
      <c r="K10" s="224">
        <f>H10+I10+J10</f>
        <v>661400</v>
      </c>
      <c r="L10" s="103">
        <v>1</v>
      </c>
      <c r="M10" s="224" t="s">
        <v>1</v>
      </c>
      <c r="N10" s="503">
        <v>10</v>
      </c>
      <c r="O10" s="508">
        <f>N10*66140</f>
        <v>661400</v>
      </c>
      <c r="P10" s="212"/>
      <c r="Q10" s="212"/>
      <c r="R10" s="224">
        <f>O10+P10+Q10</f>
        <v>661400</v>
      </c>
      <c r="S10" s="224">
        <f>+E10-L10</f>
        <v>0</v>
      </c>
      <c r="T10" s="224">
        <f t="shared" ref="T10:V12" si="0">H10-O10</f>
        <v>0</v>
      </c>
      <c r="U10" s="224">
        <f t="shared" si="0"/>
        <v>0</v>
      </c>
      <c r="V10" s="224">
        <f t="shared" si="0"/>
        <v>0</v>
      </c>
      <c r="W10" s="224">
        <f>T10+U10+V10</f>
        <v>0</v>
      </c>
      <c r="X10" s="212">
        <v>1</v>
      </c>
      <c r="Y10" s="224" t="s">
        <v>1</v>
      </c>
      <c r="Z10" s="503">
        <v>10</v>
      </c>
      <c r="AA10" s="508">
        <f>Z10*66140</f>
        <v>661400</v>
      </c>
      <c r="AB10" s="212"/>
      <c r="AC10" s="212"/>
      <c r="AD10" s="224">
        <f>AA10+AB10+AC10</f>
        <v>661400</v>
      </c>
      <c r="AE10" s="103"/>
      <c r="AF10" s="224" t="s">
        <v>1</v>
      </c>
      <c r="AG10" s="503">
        <v>10</v>
      </c>
      <c r="AH10" s="508">
        <f>AG10*66140</f>
        <v>661400</v>
      </c>
      <c r="AI10" s="212"/>
      <c r="AJ10" s="212"/>
      <c r="AK10" s="224">
        <f>AH10+AI10+AJ10</f>
        <v>661400</v>
      </c>
    </row>
    <row r="11" spans="1:38" ht="15" x14ac:dyDescent="0.25">
      <c r="A11" s="494">
        <v>2</v>
      </c>
      <c r="B11" s="502" t="s">
        <v>468</v>
      </c>
      <c r="C11" s="495" t="s">
        <v>391</v>
      </c>
      <c r="D11" s="496" t="s">
        <v>1</v>
      </c>
      <c r="E11" s="497">
        <v>1</v>
      </c>
      <c r="F11" s="225" t="s">
        <v>1</v>
      </c>
      <c r="G11" s="503">
        <v>8</v>
      </c>
      <c r="H11" s="500">
        <f>G11*66140</f>
        <v>529120</v>
      </c>
      <c r="I11" s="212"/>
      <c r="J11" s="212"/>
      <c r="K11" s="224">
        <f>H11+I11+J11</f>
        <v>529120</v>
      </c>
      <c r="L11" s="103">
        <v>1</v>
      </c>
      <c r="M11" s="224" t="s">
        <v>1</v>
      </c>
      <c r="N11" s="503">
        <v>8</v>
      </c>
      <c r="O11" s="508">
        <f>N11*66140</f>
        <v>529120</v>
      </c>
      <c r="P11" s="212"/>
      <c r="Q11" s="212"/>
      <c r="R11" s="224">
        <f>O11+P11+Q11</f>
        <v>529120</v>
      </c>
      <c r="S11" s="224">
        <f>+E11-L11</f>
        <v>0</v>
      </c>
      <c r="T11" s="224">
        <f t="shared" si="0"/>
        <v>0</v>
      </c>
      <c r="U11" s="224">
        <f t="shared" si="0"/>
        <v>0</v>
      </c>
      <c r="V11" s="224">
        <f t="shared" si="0"/>
        <v>0</v>
      </c>
      <c r="W11" s="224">
        <f>T11+U11+V11</f>
        <v>0</v>
      </c>
      <c r="X11" s="212">
        <v>1</v>
      </c>
      <c r="Y11" s="224" t="s">
        <v>1</v>
      </c>
      <c r="Z11" s="503">
        <v>8</v>
      </c>
      <c r="AA11" s="508">
        <f>Z11*66140</f>
        <v>529120</v>
      </c>
      <c r="AB11" s="212"/>
      <c r="AC11" s="212"/>
      <c r="AD11" s="224">
        <f>AA11+AB11+AC11</f>
        <v>529120</v>
      </c>
      <c r="AE11" s="103"/>
      <c r="AF11" s="224" t="s">
        <v>1</v>
      </c>
      <c r="AG11" s="503">
        <v>8</v>
      </c>
      <c r="AH11" s="508">
        <f>AG11*66140</f>
        <v>529120</v>
      </c>
      <c r="AI11" s="212"/>
      <c r="AJ11" s="212"/>
      <c r="AK11" s="224">
        <f>AH11+AI11+AJ11</f>
        <v>529120</v>
      </c>
    </row>
    <row r="12" spans="1:38" ht="15" x14ac:dyDescent="0.25">
      <c r="A12" s="494">
        <v>3</v>
      </c>
      <c r="B12" s="502" t="s">
        <v>469</v>
      </c>
      <c r="C12" s="495" t="s">
        <v>391</v>
      </c>
      <c r="D12" s="496" t="s">
        <v>1</v>
      </c>
      <c r="E12" s="497">
        <v>1</v>
      </c>
      <c r="F12" s="225" t="s">
        <v>1</v>
      </c>
      <c r="G12" s="503">
        <v>8</v>
      </c>
      <c r="H12" s="500">
        <f>G12*66140</f>
        <v>529120</v>
      </c>
      <c r="I12" s="212"/>
      <c r="J12" s="212"/>
      <c r="K12" s="224">
        <f>H12+I12+J12</f>
        <v>529120</v>
      </c>
      <c r="L12" s="103">
        <v>1</v>
      </c>
      <c r="M12" s="224" t="s">
        <v>1</v>
      </c>
      <c r="N12" s="503">
        <v>8</v>
      </c>
      <c r="O12" s="508">
        <f>N12*66140</f>
        <v>529120</v>
      </c>
      <c r="P12" s="212"/>
      <c r="Q12" s="212"/>
      <c r="R12" s="224">
        <f>O12+P12+Q12</f>
        <v>529120</v>
      </c>
      <c r="S12" s="224">
        <f>+E12-L12</f>
        <v>0</v>
      </c>
      <c r="T12" s="224">
        <f t="shared" si="0"/>
        <v>0</v>
      </c>
      <c r="U12" s="224">
        <f t="shared" si="0"/>
        <v>0</v>
      </c>
      <c r="V12" s="224">
        <f t="shared" si="0"/>
        <v>0</v>
      </c>
      <c r="W12" s="224">
        <f>T12+U12+V12</f>
        <v>0</v>
      </c>
      <c r="X12" s="212">
        <v>1</v>
      </c>
      <c r="Y12" s="224" t="s">
        <v>1</v>
      </c>
      <c r="Z12" s="503">
        <v>8</v>
      </c>
      <c r="AA12" s="508">
        <f>Z12*66140</f>
        <v>529120</v>
      </c>
      <c r="AB12" s="212"/>
      <c r="AC12" s="212"/>
      <c r="AD12" s="224">
        <f>AA12+AB12+AC12</f>
        <v>529120</v>
      </c>
      <c r="AE12" s="103"/>
      <c r="AF12" s="224" t="s">
        <v>1</v>
      </c>
      <c r="AG12" s="503">
        <v>8</v>
      </c>
      <c r="AH12" s="508">
        <f>AG12*66140</f>
        <v>529120</v>
      </c>
      <c r="AI12" s="212"/>
      <c r="AJ12" s="212"/>
      <c r="AK12" s="224">
        <f>AH12+AI12+AJ12</f>
        <v>529120</v>
      </c>
    </row>
    <row r="13" spans="1:38" ht="15" x14ac:dyDescent="0.25">
      <c r="A13" s="494">
        <v>4</v>
      </c>
      <c r="B13" s="502" t="s">
        <v>955</v>
      </c>
      <c r="C13" s="495" t="s">
        <v>391</v>
      </c>
      <c r="D13" s="496" t="s">
        <v>1</v>
      </c>
      <c r="E13" s="497">
        <v>1</v>
      </c>
      <c r="F13" s="225" t="s">
        <v>1</v>
      </c>
      <c r="G13" s="503">
        <v>8</v>
      </c>
      <c r="H13" s="500">
        <f>G13*66140</f>
        <v>529120</v>
      </c>
      <c r="I13" s="212"/>
      <c r="J13" s="212"/>
      <c r="K13" s="224">
        <f>H13+I13+J13</f>
        <v>529120</v>
      </c>
      <c r="L13" s="103">
        <v>1</v>
      </c>
      <c r="M13" s="224" t="s">
        <v>1</v>
      </c>
      <c r="N13" s="503">
        <v>8</v>
      </c>
      <c r="O13" s="508">
        <f>N13*66140</f>
        <v>529120</v>
      </c>
      <c r="P13" s="212"/>
      <c r="Q13" s="212"/>
      <c r="R13" s="224">
        <f>O13+P13+Q13</f>
        <v>529120</v>
      </c>
      <c r="S13" s="224">
        <f>+E13-L13</f>
        <v>0</v>
      </c>
      <c r="T13" s="224">
        <f>H13-O13</f>
        <v>0</v>
      </c>
      <c r="U13" s="224">
        <f>I13-P13</f>
        <v>0</v>
      </c>
      <c r="V13" s="224">
        <f>J13-Q13</f>
        <v>0</v>
      </c>
      <c r="W13" s="224">
        <f>T13+U13+V13</f>
        <v>0</v>
      </c>
      <c r="X13" s="212">
        <v>1</v>
      </c>
      <c r="Y13" s="224" t="s">
        <v>1</v>
      </c>
      <c r="Z13" s="503">
        <v>8</v>
      </c>
      <c r="AA13" s="508">
        <f>Z13*66140</f>
        <v>529120</v>
      </c>
      <c r="AB13" s="212"/>
      <c r="AC13" s="212"/>
      <c r="AD13" s="224">
        <f>AA13+AB13+AC13</f>
        <v>529120</v>
      </c>
      <c r="AE13" s="103"/>
      <c r="AF13" s="224" t="s">
        <v>1</v>
      </c>
      <c r="AG13" s="503">
        <v>8</v>
      </c>
      <c r="AH13" s="508">
        <f>AG13*66140</f>
        <v>529120</v>
      </c>
      <c r="AI13" s="212"/>
      <c r="AJ13" s="212"/>
      <c r="AK13" s="224">
        <f>AH13+AI13+AJ13</f>
        <v>529120</v>
      </c>
    </row>
    <row r="14" spans="1:38" s="226" customFormat="1" ht="14.25" x14ac:dyDescent="0.25">
      <c r="A14" s="222"/>
      <c r="B14" s="443" t="s">
        <v>96</v>
      </c>
      <c r="C14" s="225" t="s">
        <v>1</v>
      </c>
      <c r="D14" s="225" t="s">
        <v>1</v>
      </c>
      <c r="E14" s="225">
        <f>SUM(E10:E13)</f>
        <v>4</v>
      </c>
      <c r="F14" s="225" t="s">
        <v>1</v>
      </c>
      <c r="G14" s="225" t="s">
        <v>1</v>
      </c>
      <c r="H14" s="225">
        <f>SUM(H10:H13)</f>
        <v>2248760</v>
      </c>
      <c r="I14" s="225">
        <f t="shared" ref="I14:AK14" si="1">SUM(I10:I13)</f>
        <v>0</v>
      </c>
      <c r="J14" s="225">
        <f t="shared" si="1"/>
        <v>0</v>
      </c>
      <c r="K14" s="225">
        <f t="shared" si="1"/>
        <v>2248760</v>
      </c>
      <c r="L14" s="225">
        <f t="shared" si="1"/>
        <v>4</v>
      </c>
      <c r="M14" s="225">
        <f t="shared" si="1"/>
        <v>0</v>
      </c>
      <c r="N14" s="225" t="s">
        <v>1</v>
      </c>
      <c r="O14" s="225">
        <f t="shared" si="1"/>
        <v>2248760</v>
      </c>
      <c r="P14" s="225">
        <f t="shared" si="1"/>
        <v>0</v>
      </c>
      <c r="Q14" s="225">
        <f t="shared" si="1"/>
        <v>0</v>
      </c>
      <c r="R14" s="225">
        <f t="shared" si="1"/>
        <v>2248760</v>
      </c>
      <c r="S14" s="225">
        <f t="shared" si="1"/>
        <v>0</v>
      </c>
      <c r="T14" s="225">
        <f t="shared" si="1"/>
        <v>0</v>
      </c>
      <c r="U14" s="225">
        <f t="shared" si="1"/>
        <v>0</v>
      </c>
      <c r="V14" s="225">
        <f t="shared" si="1"/>
        <v>0</v>
      </c>
      <c r="W14" s="225">
        <f t="shared" si="1"/>
        <v>0</v>
      </c>
      <c r="X14" s="225">
        <f t="shared" si="1"/>
        <v>4</v>
      </c>
      <c r="Y14" s="225">
        <f t="shared" si="1"/>
        <v>0</v>
      </c>
      <c r="Z14" s="225">
        <f t="shared" si="1"/>
        <v>34</v>
      </c>
      <c r="AA14" s="225">
        <f t="shared" si="1"/>
        <v>2248760</v>
      </c>
      <c r="AB14" s="225">
        <f t="shared" si="1"/>
        <v>0</v>
      </c>
      <c r="AC14" s="225">
        <f t="shared" si="1"/>
        <v>0</v>
      </c>
      <c r="AD14" s="225">
        <f t="shared" si="1"/>
        <v>2248760</v>
      </c>
      <c r="AE14" s="225">
        <f t="shared" si="1"/>
        <v>0</v>
      </c>
      <c r="AF14" s="225">
        <f t="shared" si="1"/>
        <v>0</v>
      </c>
      <c r="AG14" s="225">
        <f t="shared" si="1"/>
        <v>34</v>
      </c>
      <c r="AH14" s="225">
        <f t="shared" si="1"/>
        <v>2248760</v>
      </c>
      <c r="AI14" s="225">
        <f t="shared" si="1"/>
        <v>0</v>
      </c>
      <c r="AJ14" s="225">
        <f t="shared" si="1"/>
        <v>0</v>
      </c>
      <c r="AK14" s="225">
        <f t="shared" si="1"/>
        <v>2248760</v>
      </c>
    </row>
    <row r="15" spans="1:38" ht="46.5" customHeight="1" x14ac:dyDescent="0.25">
      <c r="A15" s="222" t="s">
        <v>3</v>
      </c>
      <c r="B15" s="442" t="s">
        <v>326</v>
      </c>
      <c r="C15" s="224"/>
      <c r="D15" s="224"/>
      <c r="E15" s="223"/>
      <c r="F15" s="224"/>
      <c r="G15" s="224"/>
      <c r="H15" s="223"/>
      <c r="I15" s="223"/>
      <c r="J15" s="223"/>
      <c r="K15" s="223"/>
      <c r="L15" s="223"/>
      <c r="M15" s="224"/>
      <c r="N15" s="224"/>
      <c r="O15" s="223"/>
      <c r="P15" s="223"/>
      <c r="Q15" s="223"/>
      <c r="R15" s="223"/>
      <c r="S15" s="223"/>
      <c r="T15" s="223"/>
      <c r="U15" s="223"/>
      <c r="V15" s="223"/>
      <c r="W15" s="223"/>
      <c r="X15" s="509"/>
      <c r="Y15" s="224"/>
      <c r="Z15" s="224"/>
      <c r="AA15" s="223"/>
      <c r="AB15" s="223"/>
      <c r="AC15" s="223"/>
      <c r="AD15" s="223"/>
      <c r="AE15" s="223"/>
      <c r="AF15" s="224"/>
      <c r="AG15" s="224"/>
      <c r="AH15" s="223"/>
      <c r="AI15" s="223"/>
      <c r="AJ15" s="223"/>
      <c r="AK15" s="223"/>
    </row>
    <row r="16" spans="1:38" x14ac:dyDescent="0.25">
      <c r="A16" s="212"/>
      <c r="B16" s="282" t="s">
        <v>145</v>
      </c>
      <c r="C16" s="224"/>
      <c r="D16" s="224"/>
      <c r="E16" s="184"/>
      <c r="F16" s="224"/>
      <c r="G16" s="224"/>
      <c r="H16" s="184"/>
      <c r="I16" s="184"/>
      <c r="J16" s="184"/>
      <c r="K16" s="184"/>
      <c r="L16" s="184"/>
      <c r="M16" s="224"/>
      <c r="N16" s="224"/>
      <c r="O16" s="184"/>
      <c r="P16" s="184"/>
      <c r="Q16" s="184"/>
      <c r="R16" s="184"/>
      <c r="S16" s="184"/>
      <c r="T16" s="184"/>
      <c r="U16" s="184"/>
      <c r="V16" s="184"/>
      <c r="W16" s="184"/>
      <c r="X16" s="114"/>
      <c r="Y16" s="224"/>
      <c r="Z16" s="224"/>
      <c r="AA16" s="184"/>
      <c r="AB16" s="184"/>
      <c r="AC16" s="184"/>
      <c r="AD16" s="184"/>
      <c r="AE16" s="184"/>
      <c r="AF16" s="224"/>
      <c r="AG16" s="224"/>
      <c r="AH16" s="184"/>
      <c r="AI16" s="184"/>
      <c r="AJ16" s="184"/>
      <c r="AK16" s="184"/>
    </row>
    <row r="17" spans="1:37" ht="15" x14ac:dyDescent="0.25">
      <c r="A17" s="212">
        <v>5</v>
      </c>
      <c r="B17" s="502" t="s">
        <v>956</v>
      </c>
      <c r="C17" s="495" t="s">
        <v>392</v>
      </c>
      <c r="D17" s="224" t="s">
        <v>1</v>
      </c>
      <c r="E17" s="212">
        <v>1</v>
      </c>
      <c r="F17" s="224" t="s">
        <v>1</v>
      </c>
      <c r="G17" s="502">
        <v>4.75</v>
      </c>
      <c r="H17" s="508">
        <f t="shared" ref="H17:H24" si="2">G17*66140</f>
        <v>314165</v>
      </c>
      <c r="I17" s="103"/>
      <c r="J17" s="103"/>
      <c r="K17" s="224">
        <f t="shared" ref="K17:K24" si="3">H17+I17+J17</f>
        <v>314165</v>
      </c>
      <c r="L17" s="212">
        <v>1</v>
      </c>
      <c r="M17" s="224" t="s">
        <v>1</v>
      </c>
      <c r="N17" s="502">
        <v>4.75</v>
      </c>
      <c r="O17" s="508">
        <f t="shared" ref="O17:O24" si="4">N17*66140</f>
        <v>314165</v>
      </c>
      <c r="P17" s="103"/>
      <c r="Q17" s="103"/>
      <c r="R17" s="224">
        <f t="shared" ref="R17:R24" si="5">O17+P17+Q17</f>
        <v>314165</v>
      </c>
      <c r="S17" s="224">
        <f t="shared" ref="S17:S24" si="6">+E17-L17</f>
        <v>0</v>
      </c>
      <c r="T17" s="224">
        <f t="shared" ref="T17:V18" si="7">H17-O17</f>
        <v>0</v>
      </c>
      <c r="U17" s="224">
        <f t="shared" si="7"/>
        <v>0</v>
      </c>
      <c r="V17" s="224">
        <f t="shared" si="7"/>
        <v>0</v>
      </c>
      <c r="W17" s="224">
        <f t="shared" ref="W17:W24" si="8">T17+U17+V17</f>
        <v>0</v>
      </c>
      <c r="X17" s="212">
        <v>1</v>
      </c>
      <c r="Y17" s="224" t="s">
        <v>1</v>
      </c>
      <c r="Z17" s="502">
        <v>4.75</v>
      </c>
      <c r="AA17" s="508">
        <f t="shared" ref="AA17:AA24" si="9">Z17*66140</f>
        <v>314165</v>
      </c>
      <c r="AB17" s="103"/>
      <c r="AC17" s="103"/>
      <c r="AD17" s="224">
        <f t="shared" ref="AD17:AD24" si="10">AA17+AB17+AC17</f>
        <v>314165</v>
      </c>
      <c r="AE17" s="212">
        <v>1</v>
      </c>
      <c r="AF17" s="224" t="s">
        <v>1</v>
      </c>
      <c r="AG17" s="502">
        <v>4.75</v>
      </c>
      <c r="AH17" s="508">
        <f t="shared" ref="AH17:AH24" si="11">AG17*66140</f>
        <v>314165</v>
      </c>
      <c r="AI17" s="103"/>
      <c r="AJ17" s="103"/>
      <c r="AK17" s="224">
        <f t="shared" ref="AK17:AK24" si="12">AH17+AI17+AJ17</f>
        <v>314165</v>
      </c>
    </row>
    <row r="18" spans="1:37" ht="15" x14ac:dyDescent="0.25">
      <c r="A18" s="212">
        <v>6</v>
      </c>
      <c r="B18" s="502" t="s">
        <v>470</v>
      </c>
      <c r="C18" s="495" t="s">
        <v>392</v>
      </c>
      <c r="D18" s="224" t="s">
        <v>1</v>
      </c>
      <c r="E18" s="212">
        <v>1</v>
      </c>
      <c r="F18" s="224" t="s">
        <v>1</v>
      </c>
      <c r="G18" s="502">
        <v>4.75</v>
      </c>
      <c r="H18" s="508">
        <f t="shared" si="2"/>
        <v>314165</v>
      </c>
      <c r="I18" s="103"/>
      <c r="J18" s="103"/>
      <c r="K18" s="224">
        <f t="shared" si="3"/>
        <v>314165</v>
      </c>
      <c r="L18" s="212">
        <v>1</v>
      </c>
      <c r="M18" s="224" t="s">
        <v>1</v>
      </c>
      <c r="N18" s="502">
        <v>4.75</v>
      </c>
      <c r="O18" s="508">
        <f t="shared" si="4"/>
        <v>314165</v>
      </c>
      <c r="P18" s="103"/>
      <c r="Q18" s="103"/>
      <c r="R18" s="224">
        <f t="shared" si="5"/>
        <v>314165</v>
      </c>
      <c r="S18" s="224">
        <f t="shared" si="6"/>
        <v>0</v>
      </c>
      <c r="T18" s="224">
        <f t="shared" si="7"/>
        <v>0</v>
      </c>
      <c r="U18" s="224">
        <f t="shared" si="7"/>
        <v>0</v>
      </c>
      <c r="V18" s="224">
        <f t="shared" si="7"/>
        <v>0</v>
      </c>
      <c r="W18" s="224">
        <f t="shared" si="8"/>
        <v>0</v>
      </c>
      <c r="X18" s="212">
        <v>1</v>
      </c>
      <c r="Y18" s="224" t="s">
        <v>1</v>
      </c>
      <c r="Z18" s="502">
        <v>4.75</v>
      </c>
      <c r="AA18" s="508">
        <f t="shared" si="9"/>
        <v>314165</v>
      </c>
      <c r="AB18" s="103"/>
      <c r="AC18" s="103"/>
      <c r="AD18" s="224">
        <f t="shared" si="10"/>
        <v>314165</v>
      </c>
      <c r="AE18" s="212">
        <v>1</v>
      </c>
      <c r="AF18" s="224" t="s">
        <v>1</v>
      </c>
      <c r="AG18" s="502">
        <v>4.75</v>
      </c>
      <c r="AH18" s="508">
        <f t="shared" si="11"/>
        <v>314165</v>
      </c>
      <c r="AI18" s="103"/>
      <c r="AJ18" s="103"/>
      <c r="AK18" s="224">
        <f t="shared" si="12"/>
        <v>314165</v>
      </c>
    </row>
    <row r="19" spans="1:37" ht="15" x14ac:dyDescent="0.25">
      <c r="A19" s="212">
        <v>7</v>
      </c>
      <c r="B19" s="502" t="s">
        <v>471</v>
      </c>
      <c r="C19" s="495" t="s">
        <v>475</v>
      </c>
      <c r="D19" s="224"/>
      <c r="E19" s="212">
        <v>1</v>
      </c>
      <c r="F19" s="224" t="s">
        <v>1</v>
      </c>
      <c r="G19" s="502">
        <v>4.5</v>
      </c>
      <c r="H19" s="508">
        <f t="shared" si="2"/>
        <v>297630</v>
      </c>
      <c r="I19" s="103"/>
      <c r="J19" s="103"/>
      <c r="K19" s="224">
        <f t="shared" si="3"/>
        <v>297630</v>
      </c>
      <c r="L19" s="212">
        <v>1</v>
      </c>
      <c r="M19" s="224" t="s">
        <v>1</v>
      </c>
      <c r="N19" s="502">
        <v>4.5</v>
      </c>
      <c r="O19" s="508">
        <f t="shared" si="4"/>
        <v>297630</v>
      </c>
      <c r="P19" s="103"/>
      <c r="Q19" s="103"/>
      <c r="R19" s="224">
        <f t="shared" si="5"/>
        <v>297630</v>
      </c>
      <c r="S19" s="224">
        <f t="shared" si="6"/>
        <v>0</v>
      </c>
      <c r="T19" s="224">
        <f t="shared" ref="T19:V24" si="13">H19-O19</f>
        <v>0</v>
      </c>
      <c r="U19" s="224">
        <f t="shared" si="13"/>
        <v>0</v>
      </c>
      <c r="V19" s="224">
        <f t="shared" si="13"/>
        <v>0</v>
      </c>
      <c r="W19" s="224">
        <f t="shared" si="8"/>
        <v>0</v>
      </c>
      <c r="X19" s="212">
        <v>1</v>
      </c>
      <c r="Y19" s="224" t="s">
        <v>1</v>
      </c>
      <c r="Z19" s="502">
        <v>4.5</v>
      </c>
      <c r="AA19" s="508">
        <f t="shared" si="9"/>
        <v>297630</v>
      </c>
      <c r="AB19" s="103"/>
      <c r="AC19" s="103"/>
      <c r="AD19" s="224">
        <f t="shared" si="10"/>
        <v>297630</v>
      </c>
      <c r="AE19" s="212">
        <v>1</v>
      </c>
      <c r="AF19" s="224" t="s">
        <v>1</v>
      </c>
      <c r="AG19" s="502">
        <v>4.5</v>
      </c>
      <c r="AH19" s="508">
        <f t="shared" si="11"/>
        <v>297630</v>
      </c>
      <c r="AI19" s="103"/>
      <c r="AJ19" s="103"/>
      <c r="AK19" s="224">
        <f t="shared" si="12"/>
        <v>297630</v>
      </c>
    </row>
    <row r="20" spans="1:37" ht="15" x14ac:dyDescent="0.25">
      <c r="A20" s="212">
        <v>8</v>
      </c>
      <c r="B20" s="502" t="s">
        <v>472</v>
      </c>
      <c r="C20" s="495" t="s">
        <v>475</v>
      </c>
      <c r="D20" s="224"/>
      <c r="E20" s="212">
        <v>1</v>
      </c>
      <c r="F20" s="224" t="s">
        <v>1</v>
      </c>
      <c r="G20" s="502">
        <v>4.5</v>
      </c>
      <c r="H20" s="508">
        <f t="shared" si="2"/>
        <v>297630</v>
      </c>
      <c r="I20" s="103"/>
      <c r="J20" s="103"/>
      <c r="K20" s="224">
        <f t="shared" si="3"/>
        <v>297630</v>
      </c>
      <c r="L20" s="212">
        <v>1</v>
      </c>
      <c r="M20" s="224" t="s">
        <v>1</v>
      </c>
      <c r="N20" s="502">
        <v>4.5</v>
      </c>
      <c r="O20" s="508">
        <f t="shared" si="4"/>
        <v>297630</v>
      </c>
      <c r="P20" s="103"/>
      <c r="Q20" s="103"/>
      <c r="R20" s="224">
        <f t="shared" si="5"/>
        <v>297630</v>
      </c>
      <c r="S20" s="224">
        <f t="shared" si="6"/>
        <v>0</v>
      </c>
      <c r="T20" s="224">
        <f t="shared" si="13"/>
        <v>0</v>
      </c>
      <c r="U20" s="224">
        <f t="shared" si="13"/>
        <v>0</v>
      </c>
      <c r="V20" s="224">
        <f t="shared" si="13"/>
        <v>0</v>
      </c>
      <c r="W20" s="224">
        <f t="shared" si="8"/>
        <v>0</v>
      </c>
      <c r="X20" s="212">
        <v>1</v>
      </c>
      <c r="Y20" s="224" t="s">
        <v>1</v>
      </c>
      <c r="Z20" s="502">
        <v>4.5</v>
      </c>
      <c r="AA20" s="508">
        <f t="shared" si="9"/>
        <v>297630</v>
      </c>
      <c r="AB20" s="103"/>
      <c r="AC20" s="103"/>
      <c r="AD20" s="224">
        <f t="shared" si="10"/>
        <v>297630</v>
      </c>
      <c r="AE20" s="212">
        <v>1</v>
      </c>
      <c r="AF20" s="224" t="s">
        <v>1</v>
      </c>
      <c r="AG20" s="502">
        <v>4.5</v>
      </c>
      <c r="AH20" s="508">
        <f t="shared" si="11"/>
        <v>297630</v>
      </c>
      <c r="AI20" s="103"/>
      <c r="AJ20" s="103"/>
      <c r="AK20" s="224">
        <f t="shared" si="12"/>
        <v>297630</v>
      </c>
    </row>
    <row r="21" spans="1:37" ht="15" hidden="1" x14ac:dyDescent="0.25">
      <c r="A21" s="212">
        <v>8</v>
      </c>
      <c r="B21" s="502" t="s">
        <v>955</v>
      </c>
      <c r="C21" s="495" t="s">
        <v>475</v>
      </c>
      <c r="D21" s="224"/>
      <c r="E21" s="212">
        <v>1</v>
      </c>
      <c r="F21" s="224"/>
      <c r="G21" s="502">
        <v>0</v>
      </c>
      <c r="H21" s="508">
        <f t="shared" si="2"/>
        <v>0</v>
      </c>
      <c r="I21" s="103"/>
      <c r="J21" s="103"/>
      <c r="K21" s="224">
        <f t="shared" si="3"/>
        <v>0</v>
      </c>
      <c r="L21" s="212">
        <v>1</v>
      </c>
      <c r="M21" s="224"/>
      <c r="N21" s="502">
        <v>0</v>
      </c>
      <c r="O21" s="508">
        <f t="shared" si="4"/>
        <v>0</v>
      </c>
      <c r="P21" s="103"/>
      <c r="Q21" s="103"/>
      <c r="R21" s="224">
        <f t="shared" si="5"/>
        <v>0</v>
      </c>
      <c r="S21" s="224">
        <f t="shared" si="6"/>
        <v>0</v>
      </c>
      <c r="T21" s="224">
        <f t="shared" si="13"/>
        <v>0</v>
      </c>
      <c r="U21" s="224"/>
      <c r="V21" s="224"/>
      <c r="W21" s="224"/>
      <c r="X21" s="212">
        <v>1</v>
      </c>
      <c r="Y21" s="224" t="s">
        <v>1</v>
      </c>
      <c r="Z21" s="502">
        <v>0</v>
      </c>
      <c r="AA21" s="508">
        <f t="shared" si="9"/>
        <v>0</v>
      </c>
      <c r="AB21" s="103"/>
      <c r="AC21" s="103"/>
      <c r="AD21" s="224">
        <f t="shared" si="10"/>
        <v>0</v>
      </c>
      <c r="AE21" s="212">
        <v>1</v>
      </c>
      <c r="AF21" s="224" t="s">
        <v>1</v>
      </c>
      <c r="AG21" s="502">
        <v>0</v>
      </c>
      <c r="AH21" s="508">
        <f t="shared" si="11"/>
        <v>0</v>
      </c>
      <c r="AI21" s="103"/>
      <c r="AJ21" s="103"/>
      <c r="AK21" s="224">
        <f t="shared" si="12"/>
        <v>0</v>
      </c>
    </row>
    <row r="22" spans="1:37" ht="25.5" x14ac:dyDescent="0.25">
      <c r="A22" s="212">
        <v>9</v>
      </c>
      <c r="B22" s="507" t="s">
        <v>473</v>
      </c>
      <c r="C22" s="501" t="s">
        <v>476</v>
      </c>
      <c r="D22" s="224"/>
      <c r="E22" s="212">
        <v>1</v>
      </c>
      <c r="F22" s="224" t="s">
        <v>1</v>
      </c>
      <c r="G22" s="502">
        <v>3</v>
      </c>
      <c r="H22" s="508">
        <f t="shared" si="2"/>
        <v>198420</v>
      </c>
      <c r="I22" s="103"/>
      <c r="J22" s="103"/>
      <c r="K22" s="224">
        <f t="shared" si="3"/>
        <v>198420</v>
      </c>
      <c r="L22" s="212">
        <v>1</v>
      </c>
      <c r="M22" s="224" t="s">
        <v>1</v>
      </c>
      <c r="N22" s="502">
        <v>3</v>
      </c>
      <c r="O22" s="508">
        <f t="shared" si="4"/>
        <v>198420</v>
      </c>
      <c r="P22" s="103"/>
      <c r="Q22" s="103"/>
      <c r="R22" s="224">
        <f t="shared" si="5"/>
        <v>198420</v>
      </c>
      <c r="S22" s="224">
        <f t="shared" si="6"/>
        <v>0</v>
      </c>
      <c r="T22" s="224">
        <f t="shared" si="13"/>
        <v>0</v>
      </c>
      <c r="U22" s="224">
        <f t="shared" si="13"/>
        <v>0</v>
      </c>
      <c r="V22" s="224">
        <f t="shared" si="13"/>
        <v>0</v>
      </c>
      <c r="W22" s="224">
        <f t="shared" si="8"/>
        <v>0</v>
      </c>
      <c r="X22" s="212">
        <v>1</v>
      </c>
      <c r="Y22" s="224" t="s">
        <v>1</v>
      </c>
      <c r="Z22" s="502">
        <v>3</v>
      </c>
      <c r="AA22" s="508">
        <f t="shared" si="9"/>
        <v>198420</v>
      </c>
      <c r="AB22" s="103"/>
      <c r="AC22" s="103"/>
      <c r="AD22" s="224">
        <f t="shared" si="10"/>
        <v>198420</v>
      </c>
      <c r="AE22" s="212">
        <v>1</v>
      </c>
      <c r="AF22" s="224" t="s">
        <v>1</v>
      </c>
      <c r="AG22" s="502">
        <v>3</v>
      </c>
      <c r="AH22" s="508">
        <f t="shared" si="11"/>
        <v>198420</v>
      </c>
      <c r="AI22" s="103"/>
      <c r="AJ22" s="103"/>
      <c r="AK22" s="224">
        <f t="shared" si="12"/>
        <v>198420</v>
      </c>
    </row>
    <row r="23" spans="1:37" ht="14.25" customHeight="1" x14ac:dyDescent="0.25">
      <c r="A23" s="212">
        <v>10</v>
      </c>
      <c r="B23" s="507" t="s">
        <v>474</v>
      </c>
      <c r="C23" s="501" t="s">
        <v>476</v>
      </c>
      <c r="D23" s="224"/>
      <c r="E23" s="212">
        <v>1</v>
      </c>
      <c r="F23" s="224"/>
      <c r="G23" s="502">
        <v>3</v>
      </c>
      <c r="H23" s="508">
        <f t="shared" si="2"/>
        <v>198420</v>
      </c>
      <c r="I23" s="103"/>
      <c r="J23" s="103"/>
      <c r="K23" s="224">
        <f t="shared" si="3"/>
        <v>198420</v>
      </c>
      <c r="L23" s="212">
        <v>1</v>
      </c>
      <c r="M23" s="224" t="s">
        <v>1</v>
      </c>
      <c r="N23" s="502">
        <v>3</v>
      </c>
      <c r="O23" s="508">
        <f t="shared" si="4"/>
        <v>198420</v>
      </c>
      <c r="P23" s="103"/>
      <c r="Q23" s="103"/>
      <c r="R23" s="224">
        <f t="shared" si="5"/>
        <v>198420</v>
      </c>
      <c r="S23" s="224">
        <f t="shared" si="6"/>
        <v>0</v>
      </c>
      <c r="T23" s="224">
        <f t="shared" si="13"/>
        <v>0</v>
      </c>
      <c r="U23" s="224"/>
      <c r="V23" s="224"/>
      <c r="W23" s="224"/>
      <c r="X23" s="212">
        <v>1</v>
      </c>
      <c r="Y23" s="224" t="s">
        <v>1</v>
      </c>
      <c r="Z23" s="502">
        <v>3</v>
      </c>
      <c r="AA23" s="508">
        <f t="shared" si="9"/>
        <v>198420</v>
      </c>
      <c r="AB23" s="103"/>
      <c r="AC23" s="103"/>
      <c r="AD23" s="224">
        <f t="shared" si="10"/>
        <v>198420</v>
      </c>
      <c r="AE23" s="212">
        <v>1</v>
      </c>
      <c r="AF23" s="224" t="s">
        <v>1</v>
      </c>
      <c r="AG23" s="502">
        <v>3</v>
      </c>
      <c r="AH23" s="508">
        <f t="shared" si="11"/>
        <v>198420</v>
      </c>
      <c r="AI23" s="103"/>
      <c r="AJ23" s="103"/>
      <c r="AK23" s="224">
        <f t="shared" si="12"/>
        <v>198420</v>
      </c>
    </row>
    <row r="24" spans="1:37" ht="25.5" x14ac:dyDescent="0.25">
      <c r="A24" s="212">
        <v>11</v>
      </c>
      <c r="B24" s="507" t="s">
        <v>955</v>
      </c>
      <c r="C24" s="501" t="s">
        <v>476</v>
      </c>
      <c r="D24" s="224"/>
      <c r="E24" s="212">
        <v>1</v>
      </c>
      <c r="F24" s="224" t="s">
        <v>1</v>
      </c>
      <c r="G24" s="502">
        <v>3</v>
      </c>
      <c r="H24" s="508">
        <f t="shared" si="2"/>
        <v>198420</v>
      </c>
      <c r="I24" s="103"/>
      <c r="J24" s="103"/>
      <c r="K24" s="224">
        <f t="shared" si="3"/>
        <v>198420</v>
      </c>
      <c r="L24" s="212">
        <v>1</v>
      </c>
      <c r="M24" s="224" t="s">
        <v>1</v>
      </c>
      <c r="N24" s="502">
        <v>3</v>
      </c>
      <c r="O24" s="508">
        <f t="shared" si="4"/>
        <v>198420</v>
      </c>
      <c r="P24" s="103"/>
      <c r="Q24" s="103"/>
      <c r="R24" s="224">
        <f t="shared" si="5"/>
        <v>198420</v>
      </c>
      <c r="S24" s="224">
        <f t="shared" si="6"/>
        <v>0</v>
      </c>
      <c r="T24" s="224">
        <f t="shared" si="13"/>
        <v>0</v>
      </c>
      <c r="U24" s="224">
        <f t="shared" si="13"/>
        <v>0</v>
      </c>
      <c r="V24" s="224">
        <f t="shared" si="13"/>
        <v>0</v>
      </c>
      <c r="W24" s="224">
        <f t="shared" si="8"/>
        <v>0</v>
      </c>
      <c r="X24" s="212">
        <v>1</v>
      </c>
      <c r="Y24" s="224" t="s">
        <v>1</v>
      </c>
      <c r="Z24" s="502">
        <v>3</v>
      </c>
      <c r="AA24" s="508">
        <f t="shared" si="9"/>
        <v>198420</v>
      </c>
      <c r="AB24" s="103"/>
      <c r="AC24" s="103"/>
      <c r="AD24" s="224">
        <f t="shared" si="10"/>
        <v>198420</v>
      </c>
      <c r="AE24" s="212">
        <v>1</v>
      </c>
      <c r="AF24" s="224" t="s">
        <v>1</v>
      </c>
      <c r="AG24" s="502">
        <v>3</v>
      </c>
      <c r="AH24" s="508">
        <f t="shared" si="11"/>
        <v>198420</v>
      </c>
      <c r="AI24" s="103"/>
      <c r="AJ24" s="103"/>
      <c r="AK24" s="224">
        <f t="shared" si="12"/>
        <v>198420</v>
      </c>
    </row>
    <row r="25" spans="1:37" s="226" customFormat="1" ht="14.25" x14ac:dyDescent="0.25">
      <c r="A25" s="222"/>
      <c r="B25" s="443" t="s">
        <v>96</v>
      </c>
      <c r="C25" s="225" t="s">
        <v>1</v>
      </c>
      <c r="D25" s="225" t="s">
        <v>1</v>
      </c>
      <c r="E25" s="225">
        <f>E17+E18+E19+E20+E22+E23+E24</f>
        <v>7</v>
      </c>
      <c r="F25" s="225" t="s">
        <v>1</v>
      </c>
      <c r="G25" s="225" t="s">
        <v>1</v>
      </c>
      <c r="H25" s="225">
        <f>H17+H18+H19+H20+H22+H23+H24</f>
        <v>1818850</v>
      </c>
      <c r="I25" s="225">
        <f t="shared" ref="I25:AK25" si="14">SUM(I17:I24)</f>
        <v>0</v>
      </c>
      <c r="J25" s="225">
        <f t="shared" si="14"/>
        <v>0</v>
      </c>
      <c r="K25" s="225">
        <f t="shared" si="14"/>
        <v>1818850</v>
      </c>
      <c r="L25" s="225">
        <v>7</v>
      </c>
      <c r="M25" s="225">
        <f t="shared" si="14"/>
        <v>0</v>
      </c>
      <c r="N25" s="225" t="s">
        <v>1</v>
      </c>
      <c r="O25" s="225">
        <f t="shared" si="14"/>
        <v>1818850</v>
      </c>
      <c r="P25" s="225">
        <f t="shared" si="14"/>
        <v>0</v>
      </c>
      <c r="Q25" s="225">
        <f t="shared" si="14"/>
        <v>0</v>
      </c>
      <c r="R25" s="225">
        <f t="shared" si="14"/>
        <v>1818850</v>
      </c>
      <c r="S25" s="225">
        <f t="shared" si="14"/>
        <v>0</v>
      </c>
      <c r="T25" s="225">
        <f t="shared" si="14"/>
        <v>0</v>
      </c>
      <c r="U25" s="225">
        <f t="shared" si="14"/>
        <v>0</v>
      </c>
      <c r="V25" s="225">
        <f t="shared" si="14"/>
        <v>0</v>
      </c>
      <c r="W25" s="225">
        <f t="shared" si="14"/>
        <v>0</v>
      </c>
      <c r="X25" s="225">
        <f t="shared" si="14"/>
        <v>8</v>
      </c>
      <c r="Y25" s="225" t="s">
        <v>1</v>
      </c>
      <c r="Z25" s="225" t="s">
        <v>1</v>
      </c>
      <c r="AA25" s="225">
        <f t="shared" si="14"/>
        <v>1818850</v>
      </c>
      <c r="AB25" s="225">
        <f t="shared" si="14"/>
        <v>0</v>
      </c>
      <c r="AC25" s="225">
        <f t="shared" si="14"/>
        <v>0</v>
      </c>
      <c r="AD25" s="225">
        <f t="shared" si="14"/>
        <v>1818850</v>
      </c>
      <c r="AE25" s="225">
        <f t="shared" si="14"/>
        <v>8</v>
      </c>
      <c r="AF25" s="225">
        <f t="shared" si="14"/>
        <v>0</v>
      </c>
      <c r="AG25" s="225">
        <f t="shared" si="14"/>
        <v>27.5</v>
      </c>
      <c r="AH25" s="225">
        <f t="shared" si="14"/>
        <v>1818850</v>
      </c>
      <c r="AI25" s="225">
        <f t="shared" si="14"/>
        <v>0</v>
      </c>
      <c r="AJ25" s="225">
        <f t="shared" si="14"/>
        <v>0</v>
      </c>
      <c r="AK25" s="225">
        <f t="shared" si="14"/>
        <v>1818850</v>
      </c>
    </row>
    <row r="26" spans="1:37" ht="27" x14ac:dyDescent="0.25">
      <c r="A26" s="222" t="s">
        <v>4</v>
      </c>
      <c r="B26" s="442" t="s">
        <v>222</v>
      </c>
      <c r="C26" s="224"/>
      <c r="D26" s="224"/>
      <c r="E26" s="223"/>
      <c r="F26" s="224"/>
      <c r="G26" s="224"/>
      <c r="H26" s="223"/>
      <c r="I26" s="223"/>
      <c r="J26" s="223"/>
      <c r="K26" s="223"/>
      <c r="L26" s="223"/>
      <c r="M26" s="224"/>
      <c r="N26" s="224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4"/>
      <c r="Z26" s="224"/>
      <c r="AA26" s="223"/>
      <c r="AB26" s="223"/>
      <c r="AC26" s="223"/>
      <c r="AD26" s="223"/>
      <c r="AE26" s="223"/>
      <c r="AF26" s="224"/>
      <c r="AG26" s="224"/>
      <c r="AH26" s="223"/>
      <c r="AI26" s="223"/>
      <c r="AJ26" s="223"/>
      <c r="AK26" s="223"/>
    </row>
    <row r="27" spans="1:37" x14ac:dyDescent="0.25">
      <c r="A27" s="212"/>
      <c r="B27" s="504" t="s">
        <v>145</v>
      </c>
      <c r="C27" s="224"/>
      <c r="D27" s="224"/>
      <c r="E27" s="184"/>
      <c r="F27" s="224"/>
      <c r="G27" s="224"/>
      <c r="H27" s="184"/>
      <c r="I27" s="184"/>
      <c r="J27" s="184"/>
      <c r="K27" s="184"/>
      <c r="L27" s="184"/>
      <c r="M27" s="224"/>
      <c r="N27" s="22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224"/>
      <c r="Z27" s="224"/>
      <c r="AA27" s="184"/>
      <c r="AB27" s="184"/>
      <c r="AC27" s="184"/>
      <c r="AD27" s="184"/>
      <c r="AE27" s="184"/>
      <c r="AF27" s="224"/>
      <c r="AG27" s="224"/>
      <c r="AH27" s="184"/>
      <c r="AI27" s="184"/>
      <c r="AJ27" s="184"/>
      <c r="AK27" s="184"/>
    </row>
    <row r="28" spans="1:37" x14ac:dyDescent="0.25">
      <c r="A28" s="212"/>
      <c r="B28" s="505" t="s">
        <v>167</v>
      </c>
      <c r="C28" s="224"/>
      <c r="D28" s="224"/>
      <c r="E28" s="184"/>
      <c r="F28" s="224"/>
      <c r="G28" s="224"/>
      <c r="H28" s="184"/>
      <c r="I28" s="184"/>
      <c r="J28" s="184"/>
      <c r="K28" s="184"/>
      <c r="L28" s="184"/>
      <c r="M28" s="224"/>
      <c r="N28" s="22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224"/>
      <c r="Z28" s="224"/>
      <c r="AA28" s="184"/>
      <c r="AB28" s="184"/>
      <c r="AC28" s="184"/>
      <c r="AD28" s="184"/>
      <c r="AE28" s="184"/>
      <c r="AF28" s="224"/>
      <c r="AG28" s="224"/>
      <c r="AH28" s="184"/>
      <c r="AI28" s="184"/>
      <c r="AJ28" s="184"/>
      <c r="AK28" s="184"/>
    </row>
    <row r="29" spans="1:37" x14ac:dyDescent="0.25">
      <c r="A29" s="212"/>
      <c r="B29" s="282" t="s">
        <v>168</v>
      </c>
      <c r="C29" s="224"/>
      <c r="D29" s="224"/>
      <c r="E29" s="114"/>
      <c r="F29" s="224"/>
      <c r="G29" s="224"/>
      <c r="H29" s="184"/>
      <c r="I29" s="184"/>
      <c r="J29" s="184"/>
      <c r="K29" s="184"/>
      <c r="L29" s="184"/>
      <c r="M29" s="224"/>
      <c r="N29" s="22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224"/>
      <c r="Z29" s="224"/>
      <c r="AA29" s="184"/>
      <c r="AB29" s="184"/>
      <c r="AC29" s="184"/>
      <c r="AD29" s="184"/>
      <c r="AE29" s="184"/>
      <c r="AF29" s="224"/>
      <c r="AG29" s="224"/>
      <c r="AH29" s="184"/>
      <c r="AI29" s="184"/>
      <c r="AJ29" s="184"/>
      <c r="AK29" s="184"/>
    </row>
    <row r="30" spans="1:37" ht="25.5" x14ac:dyDescent="0.25">
      <c r="A30" s="212">
        <v>12</v>
      </c>
      <c r="B30" s="495" t="s">
        <v>477</v>
      </c>
      <c r="C30" s="501" t="s">
        <v>448</v>
      </c>
      <c r="D30" s="212" t="s">
        <v>1154</v>
      </c>
      <c r="E30" s="532">
        <v>1</v>
      </c>
      <c r="F30" s="501" t="s">
        <v>478</v>
      </c>
      <c r="G30" s="506">
        <v>7.66</v>
      </c>
      <c r="H30" s="500">
        <f>G30*66140</f>
        <v>506632.4</v>
      </c>
      <c r="I30" s="103"/>
      <c r="J30" s="497">
        <f>H30*0.15</f>
        <v>75994.86</v>
      </c>
      <c r="K30" s="224">
        <f>H30+I30+J30</f>
        <v>582627.26</v>
      </c>
      <c r="L30" s="212">
        <v>1</v>
      </c>
      <c r="M30" s="501" t="s">
        <v>983</v>
      </c>
      <c r="N30" s="212">
        <v>7.66</v>
      </c>
      <c r="O30" s="512">
        <f>N30*66140</f>
        <v>506632.4</v>
      </c>
      <c r="P30" s="103"/>
      <c r="Q30" s="103">
        <v>75995</v>
      </c>
      <c r="R30" s="224">
        <f>O30+P30+Q30</f>
        <v>582627.4</v>
      </c>
      <c r="S30" s="224">
        <f>+E30-L30</f>
        <v>0</v>
      </c>
      <c r="T30" s="224">
        <f>H30-O30</f>
        <v>0</v>
      </c>
      <c r="U30" s="224">
        <f>I30-P30</f>
        <v>0</v>
      </c>
      <c r="V30" s="224">
        <f>J30-Q30</f>
        <v>-0.13999999999941792</v>
      </c>
      <c r="W30" s="224">
        <f>T30+U30+V30</f>
        <v>-0.13999999999941792</v>
      </c>
      <c r="X30" s="212">
        <v>1</v>
      </c>
      <c r="Y30" s="501" t="s">
        <v>984</v>
      </c>
      <c r="Z30" s="212">
        <v>7.92</v>
      </c>
      <c r="AA30" s="103">
        <f>Z30*66140</f>
        <v>523828.8</v>
      </c>
      <c r="AB30" s="103"/>
      <c r="AC30" s="103">
        <v>78574</v>
      </c>
      <c r="AD30" s="224">
        <f>AA30+AB30+AC30</f>
        <v>602402.80000000005</v>
      </c>
      <c r="AE30" s="103"/>
      <c r="AF30" s="501" t="s">
        <v>995</v>
      </c>
      <c r="AG30" s="212">
        <v>7.92</v>
      </c>
      <c r="AH30" s="500">
        <f t="shared" ref="AH30:AH35" si="15">AG30*66140</f>
        <v>523828.8</v>
      </c>
      <c r="AI30" s="103"/>
      <c r="AJ30" s="103">
        <v>78574</v>
      </c>
      <c r="AK30" s="224">
        <f>AH30+AI30+AJ30</f>
        <v>602402.80000000005</v>
      </c>
    </row>
    <row r="31" spans="1:37" ht="25.5" x14ac:dyDescent="0.25">
      <c r="A31" s="212">
        <v>13</v>
      </c>
      <c r="B31" s="498" t="s">
        <v>482</v>
      </c>
      <c r="C31" s="501" t="s">
        <v>483</v>
      </c>
      <c r="D31" s="212" t="s">
        <v>1155</v>
      </c>
      <c r="E31" s="532">
        <v>1</v>
      </c>
      <c r="F31" s="501">
        <v>0</v>
      </c>
      <c r="G31" s="506">
        <v>6.72</v>
      </c>
      <c r="H31" s="500">
        <f>G31*66140</f>
        <v>444460.79999999999</v>
      </c>
      <c r="I31" s="103"/>
      <c r="J31" s="497"/>
      <c r="K31" s="224">
        <f>H31+I31+J31</f>
        <v>444460.79999999999</v>
      </c>
      <c r="L31" s="212">
        <v>1</v>
      </c>
      <c r="M31" s="212"/>
      <c r="N31" s="212">
        <v>6.72</v>
      </c>
      <c r="O31" s="512">
        <f>N31*66140</f>
        <v>444460.79999999999</v>
      </c>
      <c r="P31" s="103"/>
      <c r="Q31" s="103"/>
      <c r="R31" s="224">
        <f>O31+P31+Q31</f>
        <v>444460.79999999999</v>
      </c>
      <c r="S31" s="224"/>
      <c r="T31" s="224"/>
      <c r="U31" s="224"/>
      <c r="V31" s="224"/>
      <c r="W31" s="224"/>
      <c r="X31" s="212">
        <v>1</v>
      </c>
      <c r="Y31" s="212"/>
      <c r="Z31" s="212">
        <v>6.72</v>
      </c>
      <c r="AA31" s="103">
        <f>Z31*66140</f>
        <v>444460.79999999999</v>
      </c>
      <c r="AB31" s="103"/>
      <c r="AC31" s="103"/>
      <c r="AD31" s="224">
        <f>AA31+AB31+AC31</f>
        <v>444460.79999999999</v>
      </c>
      <c r="AE31" s="103"/>
      <c r="AF31" s="212"/>
      <c r="AG31" s="212">
        <v>6.72</v>
      </c>
      <c r="AH31" s="500">
        <f t="shared" si="15"/>
        <v>444460.79999999999</v>
      </c>
      <c r="AI31" s="103"/>
      <c r="AJ31" s="103"/>
      <c r="AK31" s="224">
        <f>AH31+AI31+AJ31</f>
        <v>444460.79999999999</v>
      </c>
    </row>
    <row r="32" spans="1:37" s="226" customFormat="1" ht="27" x14ac:dyDescent="0.25">
      <c r="A32" s="222"/>
      <c r="B32" s="444" t="s">
        <v>169</v>
      </c>
      <c r="C32" s="225" t="s">
        <v>1</v>
      </c>
      <c r="D32" s="225" t="s">
        <v>1</v>
      </c>
      <c r="E32" s="225">
        <f>E30+E31</f>
        <v>2</v>
      </c>
      <c r="F32" s="225" t="s">
        <v>1</v>
      </c>
      <c r="G32" s="225" t="s">
        <v>1</v>
      </c>
      <c r="H32" s="225">
        <f>H30+H31</f>
        <v>951093.2</v>
      </c>
      <c r="I32" s="225">
        <f>I30+I31</f>
        <v>0</v>
      </c>
      <c r="J32" s="225">
        <f>J30+J31</f>
        <v>75994.86</v>
      </c>
      <c r="K32" s="225">
        <f>K30+K31</f>
        <v>1027088.06</v>
      </c>
      <c r="L32" s="225">
        <f>L30+L31</f>
        <v>2</v>
      </c>
      <c r="M32" s="225" t="s">
        <v>1</v>
      </c>
      <c r="N32" s="225" t="s">
        <v>1</v>
      </c>
      <c r="O32" s="225">
        <f>O30+O31</f>
        <v>951093.2</v>
      </c>
      <c r="P32" s="225">
        <f t="shared" ref="P32:X32" si="16">SUM(P30:P30)</f>
        <v>0</v>
      </c>
      <c r="Q32" s="225">
        <f t="shared" si="16"/>
        <v>75995</v>
      </c>
      <c r="R32" s="225">
        <f>R30+R31</f>
        <v>1027088.2</v>
      </c>
      <c r="S32" s="225">
        <f t="shared" si="16"/>
        <v>0</v>
      </c>
      <c r="T32" s="225">
        <f t="shared" si="16"/>
        <v>0</v>
      </c>
      <c r="U32" s="225">
        <f t="shared" si="16"/>
        <v>0</v>
      </c>
      <c r="V32" s="225">
        <f t="shared" si="16"/>
        <v>-0.13999999999941792</v>
      </c>
      <c r="W32" s="225">
        <f t="shared" si="16"/>
        <v>-0.13999999999941792</v>
      </c>
      <c r="X32" s="225">
        <f t="shared" si="16"/>
        <v>1</v>
      </c>
      <c r="Y32" s="225" t="s">
        <v>1</v>
      </c>
      <c r="Z32" s="225" t="s">
        <v>1</v>
      </c>
      <c r="AA32" s="225">
        <f>AA30+AA31</f>
        <v>968289.6</v>
      </c>
      <c r="AB32" s="225">
        <f>AB30+AB31</f>
        <v>0</v>
      </c>
      <c r="AC32" s="225">
        <f>AC30+AC31</f>
        <v>78574</v>
      </c>
      <c r="AD32" s="225">
        <f>AD30+AD31</f>
        <v>1046863.6000000001</v>
      </c>
      <c r="AE32" s="225">
        <f>SUM(AE30:AE30)</f>
        <v>0</v>
      </c>
      <c r="AF32" s="225" t="s">
        <v>1</v>
      </c>
      <c r="AG32" s="225" t="s">
        <v>1</v>
      </c>
      <c r="AH32" s="500">
        <f>AH30+AH31</f>
        <v>968289.6</v>
      </c>
      <c r="AI32" s="500">
        <f>AI30+AI31</f>
        <v>0</v>
      </c>
      <c r="AJ32" s="500">
        <f>AJ30+AJ31</f>
        <v>78574</v>
      </c>
      <c r="AK32" s="500">
        <f>AK30+AK31</f>
        <v>1046863.6000000001</v>
      </c>
    </row>
    <row r="33" spans="1:37" x14ac:dyDescent="0.25">
      <c r="A33" s="212"/>
      <c r="B33" s="605" t="s">
        <v>479</v>
      </c>
      <c r="C33" s="605"/>
      <c r="D33" s="605"/>
      <c r="E33" s="184"/>
      <c r="F33" s="224"/>
      <c r="G33" s="224"/>
      <c r="H33" s="184"/>
      <c r="I33" s="184"/>
      <c r="J33" s="184"/>
      <c r="K33" s="184"/>
      <c r="L33" s="184"/>
      <c r="M33" s="224"/>
      <c r="N33" s="224"/>
      <c r="O33" s="512">
        <f t="shared" ref="O33:O38" si="17">N33*66140</f>
        <v>0</v>
      </c>
      <c r="P33" s="184"/>
      <c r="Q33" s="184"/>
      <c r="R33" s="184"/>
      <c r="S33" s="184"/>
      <c r="T33" s="184"/>
      <c r="U33" s="184"/>
      <c r="V33" s="184"/>
      <c r="W33" s="184"/>
      <c r="X33" s="184"/>
      <c r="Y33" s="224"/>
      <c r="Z33" s="224"/>
      <c r="AA33" s="184"/>
      <c r="AB33" s="184"/>
      <c r="AC33" s="184"/>
      <c r="AD33" s="184"/>
      <c r="AE33" s="184"/>
      <c r="AF33" s="224"/>
      <c r="AG33" s="224"/>
      <c r="AH33" s="500">
        <f t="shared" si="15"/>
        <v>0</v>
      </c>
      <c r="AI33" s="184"/>
      <c r="AJ33" s="184"/>
      <c r="AK33" s="184"/>
    </row>
    <row r="34" spans="1:37" ht="25.5" x14ac:dyDescent="0.25">
      <c r="A34" s="212">
        <v>14</v>
      </c>
      <c r="B34" s="495" t="s">
        <v>480</v>
      </c>
      <c r="C34" s="501" t="s">
        <v>481</v>
      </c>
      <c r="D34" s="212"/>
      <c r="E34" s="511">
        <v>1</v>
      </c>
      <c r="F34" s="501" t="s">
        <v>959</v>
      </c>
      <c r="G34" s="506">
        <v>4.7</v>
      </c>
      <c r="H34" s="500">
        <f t="shared" ref="H34:H78" si="18">G34*66140</f>
        <v>310858</v>
      </c>
      <c r="I34" s="103"/>
      <c r="J34" s="512"/>
      <c r="K34" s="224">
        <f t="shared" ref="K34:K87" si="19">H34+I34+J34</f>
        <v>310858</v>
      </c>
      <c r="L34" s="511">
        <v>1</v>
      </c>
      <c r="M34" s="501" t="s">
        <v>979</v>
      </c>
      <c r="N34" s="506">
        <v>4.7</v>
      </c>
      <c r="O34" s="512">
        <f t="shared" si="17"/>
        <v>310858</v>
      </c>
      <c r="P34" s="512"/>
      <c r="Q34" s="512"/>
      <c r="R34" s="512">
        <f>O34+P34+Q34</f>
        <v>310858</v>
      </c>
      <c r="S34" s="224">
        <f>+E34-L34</f>
        <v>0</v>
      </c>
      <c r="T34" s="224">
        <f t="shared" ref="T34:V36" si="20">H34-O34</f>
        <v>0</v>
      </c>
      <c r="U34" s="224">
        <f t="shared" si="20"/>
        <v>0</v>
      </c>
      <c r="V34" s="224">
        <f t="shared" si="20"/>
        <v>0</v>
      </c>
      <c r="W34" s="224">
        <f>T34+U34+V34</f>
        <v>0</v>
      </c>
      <c r="X34" s="511">
        <v>1</v>
      </c>
      <c r="Y34" s="501" t="s">
        <v>996</v>
      </c>
      <c r="Z34" s="506">
        <v>5.01</v>
      </c>
      <c r="AA34" s="500">
        <f t="shared" ref="AA34:AA78" si="21">Z34*66140</f>
        <v>331361.39999999997</v>
      </c>
      <c r="AB34" s="103"/>
      <c r="AC34" s="512"/>
      <c r="AD34" s="224">
        <f t="shared" ref="AD34:AD40" si="22">AA34+AB34+AC34</f>
        <v>331361.39999999997</v>
      </c>
      <c r="AE34" s="511">
        <v>1</v>
      </c>
      <c r="AF34" s="501" t="s">
        <v>998</v>
      </c>
      <c r="AG34" s="506">
        <v>5.18</v>
      </c>
      <c r="AH34" s="500">
        <f t="shared" si="15"/>
        <v>342605.19999999995</v>
      </c>
      <c r="AI34" s="103"/>
      <c r="AJ34" s="103"/>
      <c r="AK34" s="224">
        <f t="shared" ref="AK34:AK40" si="23">AH34+AI34+AJ34</f>
        <v>342605.19999999995</v>
      </c>
    </row>
    <row r="35" spans="1:37" ht="13.5" customHeight="1" x14ac:dyDescent="0.25">
      <c r="A35" s="494"/>
      <c r="B35" s="603" t="s">
        <v>484</v>
      </c>
      <c r="C35" s="603"/>
      <c r="D35" s="603"/>
      <c r="E35" s="511"/>
      <c r="F35" s="495"/>
      <c r="G35" s="506"/>
      <c r="H35" s="500">
        <f t="shared" si="18"/>
        <v>0</v>
      </c>
      <c r="I35" s="103"/>
      <c r="J35" s="512"/>
      <c r="K35" s="224">
        <f t="shared" si="19"/>
        <v>0</v>
      </c>
      <c r="L35" s="511"/>
      <c r="M35" s="495"/>
      <c r="N35" s="506"/>
      <c r="O35" s="512">
        <f t="shared" si="17"/>
        <v>0</v>
      </c>
      <c r="P35" s="512"/>
      <c r="Q35" s="512"/>
      <c r="R35" s="512"/>
      <c r="S35" s="224">
        <f>+E35-L35</f>
        <v>0</v>
      </c>
      <c r="T35" s="224">
        <f t="shared" si="20"/>
        <v>0</v>
      </c>
      <c r="U35" s="224">
        <f t="shared" si="20"/>
        <v>0</v>
      </c>
      <c r="V35" s="224">
        <f t="shared" si="20"/>
        <v>0</v>
      </c>
      <c r="W35" s="224">
        <f>T35+U35+V35</f>
        <v>0</v>
      </c>
      <c r="X35" s="511"/>
      <c r="Y35" s="495"/>
      <c r="Z35" s="506"/>
      <c r="AA35" s="500">
        <f t="shared" si="21"/>
        <v>0</v>
      </c>
      <c r="AB35" s="103"/>
      <c r="AC35" s="512"/>
      <c r="AD35" s="224">
        <f t="shared" si="22"/>
        <v>0</v>
      </c>
      <c r="AE35" s="511"/>
      <c r="AF35" s="495"/>
      <c r="AG35" s="506"/>
      <c r="AH35" s="500">
        <f t="shared" si="15"/>
        <v>0</v>
      </c>
      <c r="AI35" s="103"/>
      <c r="AJ35" s="512"/>
      <c r="AK35" s="224">
        <f t="shared" si="23"/>
        <v>0</v>
      </c>
    </row>
    <row r="36" spans="1:37" ht="25.5" x14ac:dyDescent="0.25">
      <c r="A36" s="494">
        <v>15</v>
      </c>
      <c r="B36" s="502" t="s">
        <v>485</v>
      </c>
      <c r="C36" s="531" t="s">
        <v>481</v>
      </c>
      <c r="D36" s="501" t="s">
        <v>486</v>
      </c>
      <c r="E36" s="511">
        <v>1</v>
      </c>
      <c r="F36" s="501" t="s">
        <v>488</v>
      </c>
      <c r="G36" s="506">
        <v>4.8499999999999996</v>
      </c>
      <c r="H36" s="500">
        <f t="shared" si="18"/>
        <v>320779</v>
      </c>
      <c r="I36" s="103"/>
      <c r="J36" s="512">
        <f>H36*0.05</f>
        <v>16038.95</v>
      </c>
      <c r="K36" s="224">
        <f t="shared" si="19"/>
        <v>336817.95</v>
      </c>
      <c r="L36" s="511">
        <v>1</v>
      </c>
      <c r="M36" s="501" t="s">
        <v>487</v>
      </c>
      <c r="N36" s="506">
        <v>4.7</v>
      </c>
      <c r="O36" s="512">
        <f t="shared" si="17"/>
        <v>310858</v>
      </c>
      <c r="P36" s="512"/>
      <c r="Q36" s="512">
        <f>O36*0.05</f>
        <v>15542.900000000001</v>
      </c>
      <c r="R36" s="512">
        <f>O36+P36+Q36</f>
        <v>326400.90000000002</v>
      </c>
      <c r="S36" s="224">
        <f>+E36-L36</f>
        <v>0</v>
      </c>
      <c r="T36" s="224">
        <f t="shared" si="20"/>
        <v>9921</v>
      </c>
      <c r="U36" s="224">
        <f t="shared" si="20"/>
        <v>0</v>
      </c>
      <c r="V36" s="224">
        <f t="shared" si="20"/>
        <v>496.04999999999927</v>
      </c>
      <c r="W36" s="224">
        <f>T36+U36+V36</f>
        <v>10417.049999999999</v>
      </c>
      <c r="X36" s="511">
        <v>1</v>
      </c>
      <c r="Y36" s="501" t="s">
        <v>489</v>
      </c>
      <c r="Z36" s="506">
        <v>4.8499999999999996</v>
      </c>
      <c r="AA36" s="500">
        <f t="shared" si="21"/>
        <v>320779</v>
      </c>
      <c r="AB36" s="103"/>
      <c r="AC36" s="512">
        <f>AA36*0.05</f>
        <v>16038.95</v>
      </c>
      <c r="AD36" s="224">
        <f t="shared" si="22"/>
        <v>336817.95</v>
      </c>
      <c r="AE36" s="511">
        <v>1</v>
      </c>
      <c r="AF36" s="501" t="s">
        <v>999</v>
      </c>
      <c r="AG36" s="506">
        <v>4.8499999999999996</v>
      </c>
      <c r="AH36" s="500">
        <f t="shared" ref="AH36:AH78" si="24">AG36*66140</f>
        <v>320779</v>
      </c>
      <c r="AI36" s="103"/>
      <c r="AJ36" s="512">
        <f>AH36*0.05</f>
        <v>16038.95</v>
      </c>
      <c r="AK36" s="224">
        <f t="shared" si="23"/>
        <v>336817.95</v>
      </c>
    </row>
    <row r="37" spans="1:37" s="226" customFormat="1" ht="30" x14ac:dyDescent="0.25">
      <c r="A37" s="494">
        <v>16</v>
      </c>
      <c r="B37" s="502" t="s">
        <v>490</v>
      </c>
      <c r="C37" s="531" t="s">
        <v>491</v>
      </c>
      <c r="D37" s="501" t="s">
        <v>492</v>
      </c>
      <c r="E37" s="511">
        <v>1</v>
      </c>
      <c r="F37" s="501" t="s">
        <v>494</v>
      </c>
      <c r="G37" s="506">
        <v>3.11</v>
      </c>
      <c r="H37" s="500">
        <f t="shared" si="18"/>
        <v>205695.4</v>
      </c>
      <c r="I37" s="225">
        <f>SUM(I34:I36)</f>
        <v>0</v>
      </c>
      <c r="J37" s="512">
        <f>H37*0.05</f>
        <v>10284.77</v>
      </c>
      <c r="K37" s="224">
        <f t="shared" si="19"/>
        <v>215980.16999999998</v>
      </c>
      <c r="L37" s="511">
        <v>1</v>
      </c>
      <c r="M37" s="501" t="s">
        <v>493</v>
      </c>
      <c r="N37" s="506">
        <v>3.11</v>
      </c>
      <c r="O37" s="512">
        <f t="shared" si="17"/>
        <v>205695.4</v>
      </c>
      <c r="P37" s="512"/>
      <c r="Q37" s="512">
        <f>O37*0.05</f>
        <v>10284.77</v>
      </c>
      <c r="R37" s="512">
        <f>O37+P37+Q37</f>
        <v>215980.16999999998</v>
      </c>
      <c r="S37" s="225">
        <f>SUM(S34:S36)</f>
        <v>0</v>
      </c>
      <c r="T37" s="225">
        <f>SUM(T34:T36)</f>
        <v>9921</v>
      </c>
      <c r="U37" s="225">
        <f>SUM(U34:U36)</f>
        <v>0</v>
      </c>
      <c r="V37" s="225">
        <f>SUM(V34:V36)</f>
        <v>496.04999999999927</v>
      </c>
      <c r="W37" s="225">
        <f>SUM(W34:W36)</f>
        <v>10417.049999999999</v>
      </c>
      <c r="X37" s="511">
        <v>1</v>
      </c>
      <c r="Y37" s="501" t="s">
        <v>495</v>
      </c>
      <c r="Z37" s="506">
        <v>3.11</v>
      </c>
      <c r="AA37" s="500">
        <f t="shared" si="21"/>
        <v>205695.4</v>
      </c>
      <c r="AB37" s="225">
        <f>SUM(AB34:AB36)</f>
        <v>0</v>
      </c>
      <c r="AC37" s="512">
        <f>AA37*0.05</f>
        <v>10284.77</v>
      </c>
      <c r="AD37" s="224">
        <f t="shared" si="22"/>
        <v>215980.16999999998</v>
      </c>
      <c r="AE37" s="511">
        <v>1</v>
      </c>
      <c r="AF37" s="501" t="s">
        <v>1000</v>
      </c>
      <c r="AG37" s="506">
        <v>3.11</v>
      </c>
      <c r="AH37" s="500">
        <f t="shared" si="24"/>
        <v>205695.4</v>
      </c>
      <c r="AI37" s="225">
        <f>SUM(AI34:AI36)</f>
        <v>0</v>
      </c>
      <c r="AJ37" s="512">
        <f>AH37*0.05</f>
        <v>10284.77</v>
      </c>
      <c r="AK37" s="224">
        <f t="shared" si="23"/>
        <v>215980.16999999998</v>
      </c>
    </row>
    <row r="38" spans="1:37" ht="30" x14ac:dyDescent="0.25">
      <c r="A38" s="494">
        <v>17</v>
      </c>
      <c r="B38" s="502" t="s">
        <v>496</v>
      </c>
      <c r="C38" s="531" t="s">
        <v>497</v>
      </c>
      <c r="D38" s="501" t="s">
        <v>498</v>
      </c>
      <c r="E38" s="511">
        <v>1</v>
      </c>
      <c r="F38" s="501" t="s">
        <v>500</v>
      </c>
      <c r="G38" s="506">
        <v>2.2799999999999998</v>
      </c>
      <c r="H38" s="500">
        <f t="shared" si="18"/>
        <v>150799.19999999998</v>
      </c>
      <c r="I38" s="184"/>
      <c r="J38" s="512">
        <f>H38*0.05</f>
        <v>7539.9599999999991</v>
      </c>
      <c r="K38" s="224">
        <f t="shared" si="19"/>
        <v>158339.15999999997</v>
      </c>
      <c r="L38" s="511">
        <v>1</v>
      </c>
      <c r="M38" s="501" t="s">
        <v>499</v>
      </c>
      <c r="N38" s="506">
        <v>2.2799999999999998</v>
      </c>
      <c r="O38" s="512">
        <f t="shared" si="17"/>
        <v>150799.19999999998</v>
      </c>
      <c r="P38" s="512"/>
      <c r="Q38" s="512">
        <f>O38*0.05</f>
        <v>7539.9599999999991</v>
      </c>
      <c r="R38" s="512">
        <f>O38+P38+Q38</f>
        <v>158339.15999999997</v>
      </c>
      <c r="S38" s="184"/>
      <c r="T38" s="184"/>
      <c r="U38" s="184"/>
      <c r="V38" s="184"/>
      <c r="W38" s="184"/>
      <c r="X38" s="511">
        <v>1</v>
      </c>
      <c r="Y38" s="501" t="s">
        <v>501</v>
      </c>
      <c r="Z38" s="506">
        <v>2.2799999999999998</v>
      </c>
      <c r="AA38" s="500">
        <f t="shared" si="21"/>
        <v>150799.19999999998</v>
      </c>
      <c r="AB38" s="184"/>
      <c r="AC38" s="512">
        <f>AA38*0.05</f>
        <v>7539.9599999999991</v>
      </c>
      <c r="AD38" s="224">
        <f t="shared" si="22"/>
        <v>158339.15999999997</v>
      </c>
      <c r="AE38" s="511">
        <v>1</v>
      </c>
      <c r="AF38" s="501" t="s">
        <v>1001</v>
      </c>
      <c r="AG38" s="506">
        <v>2.2799999999999998</v>
      </c>
      <c r="AH38" s="500">
        <f t="shared" si="24"/>
        <v>150799.19999999998</v>
      </c>
      <c r="AI38" s="184"/>
      <c r="AJ38" s="512">
        <f>AH38*0.05</f>
        <v>7539.9599999999991</v>
      </c>
      <c r="AK38" s="224">
        <f t="shared" si="23"/>
        <v>158339.15999999997</v>
      </c>
    </row>
    <row r="39" spans="1:37" ht="13.5" customHeight="1" x14ac:dyDescent="0.25">
      <c r="A39" s="494"/>
      <c r="B39" s="603" t="s">
        <v>502</v>
      </c>
      <c r="C39" s="603"/>
      <c r="D39" s="603"/>
      <c r="E39" s="511"/>
      <c r="F39" s="501"/>
      <c r="G39" s="506"/>
      <c r="H39" s="500">
        <f t="shared" si="18"/>
        <v>0</v>
      </c>
      <c r="I39" s="103"/>
      <c r="J39" s="512"/>
      <c r="K39" s="224">
        <f t="shared" si="19"/>
        <v>0</v>
      </c>
      <c r="L39" s="511"/>
      <c r="M39" s="501"/>
      <c r="N39" s="506"/>
      <c r="O39" s="512"/>
      <c r="P39" s="512"/>
      <c r="Q39" s="512"/>
      <c r="R39" s="512"/>
      <c r="S39" s="224">
        <f>+E39-L39</f>
        <v>0</v>
      </c>
      <c r="T39" s="224">
        <f t="shared" ref="T39:V54" si="25">H39-O39</f>
        <v>0</v>
      </c>
      <c r="U39" s="224">
        <f t="shared" si="25"/>
        <v>0</v>
      </c>
      <c r="V39" s="224">
        <f t="shared" si="25"/>
        <v>0</v>
      </c>
      <c r="W39" s="224">
        <f>T39+U39+V39</f>
        <v>0</v>
      </c>
      <c r="X39" s="511"/>
      <c r="Y39" s="501"/>
      <c r="Z39" s="506"/>
      <c r="AA39" s="500">
        <f t="shared" si="21"/>
        <v>0</v>
      </c>
      <c r="AB39" s="103"/>
      <c r="AC39" s="512"/>
      <c r="AD39" s="224">
        <f t="shared" si="22"/>
        <v>0</v>
      </c>
      <c r="AE39" s="511"/>
      <c r="AF39" s="501"/>
      <c r="AG39" s="506"/>
      <c r="AH39" s="500">
        <f t="shared" si="24"/>
        <v>0</v>
      </c>
      <c r="AI39" s="103"/>
      <c r="AJ39" s="512"/>
      <c r="AK39" s="224">
        <f t="shared" si="23"/>
        <v>0</v>
      </c>
    </row>
    <row r="40" spans="1:37" ht="25.5" x14ac:dyDescent="0.25">
      <c r="A40" s="494">
        <v>18</v>
      </c>
      <c r="B40" s="498" t="s">
        <v>503</v>
      </c>
      <c r="C40" s="501" t="s">
        <v>481</v>
      </c>
      <c r="D40" s="501" t="s">
        <v>504</v>
      </c>
      <c r="E40" s="511">
        <v>1</v>
      </c>
      <c r="F40" s="501" t="s">
        <v>506</v>
      </c>
      <c r="G40" s="506">
        <v>4.7</v>
      </c>
      <c r="H40" s="500">
        <f t="shared" si="18"/>
        <v>310858</v>
      </c>
      <c r="I40" s="103"/>
      <c r="J40" s="512">
        <f>H40*0.05</f>
        <v>15542.900000000001</v>
      </c>
      <c r="K40" s="224">
        <f t="shared" si="19"/>
        <v>326400.90000000002</v>
      </c>
      <c r="L40" s="511">
        <v>1</v>
      </c>
      <c r="M40" s="501" t="s">
        <v>505</v>
      </c>
      <c r="N40" s="506">
        <v>4.55</v>
      </c>
      <c r="O40" s="512">
        <f>N40*66140</f>
        <v>300937</v>
      </c>
      <c r="P40" s="512"/>
      <c r="Q40" s="512">
        <f>O40*0.05</f>
        <v>15046.85</v>
      </c>
      <c r="R40" s="512">
        <f>O40+P40+Q40</f>
        <v>315983.84999999998</v>
      </c>
      <c r="S40" s="224">
        <f>+E40-L40</f>
        <v>0</v>
      </c>
      <c r="T40" s="224">
        <f t="shared" si="25"/>
        <v>9921</v>
      </c>
      <c r="U40" s="224">
        <f t="shared" si="25"/>
        <v>0</v>
      </c>
      <c r="V40" s="224">
        <f t="shared" si="25"/>
        <v>496.05000000000109</v>
      </c>
      <c r="W40" s="224">
        <f>T40+U40+V40</f>
        <v>10417.050000000001</v>
      </c>
      <c r="X40" s="511">
        <v>1</v>
      </c>
      <c r="Y40" s="501" t="s">
        <v>507</v>
      </c>
      <c r="Z40" s="506">
        <v>4.7</v>
      </c>
      <c r="AA40" s="500">
        <f t="shared" si="21"/>
        <v>310858</v>
      </c>
      <c r="AB40" s="103"/>
      <c r="AC40" s="512">
        <f>AA40*0.05</f>
        <v>15542.900000000001</v>
      </c>
      <c r="AD40" s="224">
        <f t="shared" si="22"/>
        <v>326400.90000000002</v>
      </c>
      <c r="AE40" s="511">
        <v>1</v>
      </c>
      <c r="AF40" s="501" t="s">
        <v>1002</v>
      </c>
      <c r="AG40" s="506">
        <v>4.7</v>
      </c>
      <c r="AH40" s="500">
        <f t="shared" si="24"/>
        <v>310858</v>
      </c>
      <c r="AI40" s="103"/>
      <c r="AJ40" s="512">
        <f>AH40*0.05</f>
        <v>15542.900000000001</v>
      </c>
      <c r="AK40" s="224">
        <f t="shared" si="23"/>
        <v>326400.90000000002</v>
      </c>
    </row>
    <row r="41" spans="1:37" ht="25.5" x14ac:dyDescent="0.25">
      <c r="A41" s="494">
        <v>19</v>
      </c>
      <c r="B41" s="498" t="s">
        <v>508</v>
      </c>
      <c r="C41" s="501" t="s">
        <v>491</v>
      </c>
      <c r="D41" s="501" t="s">
        <v>509</v>
      </c>
      <c r="E41" s="513">
        <v>1</v>
      </c>
      <c r="F41" s="515" t="s">
        <v>511</v>
      </c>
      <c r="G41" s="516">
        <v>2.66</v>
      </c>
      <c r="H41" s="500">
        <f t="shared" si="18"/>
        <v>175932.40000000002</v>
      </c>
      <c r="I41" s="103"/>
      <c r="J41" s="512">
        <f>H41*0.05</f>
        <v>8796.6200000000008</v>
      </c>
      <c r="K41" s="224">
        <f t="shared" si="19"/>
        <v>184729.02000000002</v>
      </c>
      <c r="L41" s="513">
        <v>1</v>
      </c>
      <c r="M41" s="501" t="s">
        <v>510</v>
      </c>
      <c r="N41" s="506">
        <v>2.66</v>
      </c>
      <c r="O41" s="514">
        <f>N41*66140</f>
        <v>175932.40000000002</v>
      </c>
      <c r="P41" s="514"/>
      <c r="Q41" s="512">
        <f>O41*0.05</f>
        <v>8796.6200000000008</v>
      </c>
      <c r="R41" s="514">
        <f>O41+P41+Q41</f>
        <v>184729.02000000002</v>
      </c>
      <c r="S41" s="224">
        <f t="shared" ref="S41:S104" si="26">+E41-L41</f>
        <v>0</v>
      </c>
      <c r="T41" s="224">
        <f t="shared" si="25"/>
        <v>0</v>
      </c>
      <c r="U41" s="224">
        <f t="shared" si="25"/>
        <v>0</v>
      </c>
      <c r="V41" s="224">
        <f t="shared" si="25"/>
        <v>0</v>
      </c>
      <c r="W41" s="224">
        <f>T41+U41+V41</f>
        <v>0</v>
      </c>
      <c r="X41" s="513">
        <v>1</v>
      </c>
      <c r="Y41" s="515" t="s">
        <v>512</v>
      </c>
      <c r="Z41" s="516">
        <v>2.75</v>
      </c>
      <c r="AA41" s="500">
        <f t="shared" si="21"/>
        <v>181885</v>
      </c>
      <c r="AB41" s="103"/>
      <c r="AC41" s="512">
        <f>AA41*0.05</f>
        <v>9094.25</v>
      </c>
      <c r="AD41" s="224">
        <f t="shared" ref="AD41:AD104" si="27">AA41+AB41+AC41</f>
        <v>190979.25</v>
      </c>
      <c r="AE41" s="513">
        <v>1</v>
      </c>
      <c r="AF41" s="515" t="s">
        <v>1003</v>
      </c>
      <c r="AG41" s="516">
        <v>2.75</v>
      </c>
      <c r="AH41" s="500">
        <f t="shared" si="24"/>
        <v>181885</v>
      </c>
      <c r="AI41" s="103"/>
      <c r="AJ41" s="512">
        <f>AH41*0.05</f>
        <v>9094.25</v>
      </c>
      <c r="AK41" s="224">
        <f t="shared" ref="AK41:AK104" si="28">AH41+AI41+AJ41</f>
        <v>190979.25</v>
      </c>
    </row>
    <row r="42" spans="1:37" s="226" customFormat="1" ht="25.5" x14ac:dyDescent="0.25">
      <c r="A42" s="494">
        <v>20</v>
      </c>
      <c r="B42" s="498" t="s">
        <v>513</v>
      </c>
      <c r="C42" s="501" t="s">
        <v>497</v>
      </c>
      <c r="D42" s="501" t="s">
        <v>514</v>
      </c>
      <c r="E42" s="511">
        <v>1</v>
      </c>
      <c r="F42" s="501" t="s">
        <v>517</v>
      </c>
      <c r="G42" s="506">
        <v>2.21</v>
      </c>
      <c r="H42" s="500">
        <f t="shared" si="18"/>
        <v>146169.4</v>
      </c>
      <c r="I42" s="225">
        <f>SUM(I39:I41)</f>
        <v>0</v>
      </c>
      <c r="J42" s="512">
        <f>H42*0.05</f>
        <v>7308.47</v>
      </c>
      <c r="K42" s="224">
        <f t="shared" si="19"/>
        <v>153477.87</v>
      </c>
      <c r="L42" s="511">
        <v>1</v>
      </c>
      <c r="M42" s="501" t="s">
        <v>515</v>
      </c>
      <c r="N42" s="506">
        <v>2.21</v>
      </c>
      <c r="O42" s="512">
        <f>N42*66140</f>
        <v>146169.4</v>
      </c>
      <c r="P42" s="512"/>
      <c r="Q42" s="512">
        <f>O42*0.05</f>
        <v>7308.47</v>
      </c>
      <c r="R42" s="512">
        <f>O42+P42+Q42</f>
        <v>153477.87</v>
      </c>
      <c r="S42" s="224">
        <f t="shared" si="26"/>
        <v>0</v>
      </c>
      <c r="T42" s="224">
        <f t="shared" si="25"/>
        <v>0</v>
      </c>
      <c r="U42" s="224">
        <f t="shared" si="25"/>
        <v>0</v>
      </c>
      <c r="V42" s="224">
        <f t="shared" si="25"/>
        <v>0</v>
      </c>
      <c r="W42" s="224">
        <f t="shared" ref="W42:W105" si="29">T42+U42+V42</f>
        <v>0</v>
      </c>
      <c r="X42" s="511">
        <v>1</v>
      </c>
      <c r="Y42" s="501" t="s">
        <v>518</v>
      </c>
      <c r="Z42" s="506">
        <v>2.21</v>
      </c>
      <c r="AA42" s="500">
        <f t="shared" si="21"/>
        <v>146169.4</v>
      </c>
      <c r="AB42" s="225">
        <f>SUM(AB39:AB41)</f>
        <v>0</v>
      </c>
      <c r="AC42" s="512">
        <f>AA42*0.05</f>
        <v>7308.47</v>
      </c>
      <c r="AD42" s="224">
        <f t="shared" si="27"/>
        <v>153477.87</v>
      </c>
      <c r="AE42" s="511">
        <v>1</v>
      </c>
      <c r="AF42" s="501" t="s">
        <v>1004</v>
      </c>
      <c r="AG42" s="506">
        <v>2.2799999999999998</v>
      </c>
      <c r="AH42" s="500">
        <f t="shared" si="24"/>
        <v>150799.19999999998</v>
      </c>
      <c r="AI42" s="225">
        <f>SUM(AI39:AI41)</f>
        <v>0</v>
      </c>
      <c r="AJ42" s="512">
        <f>AH42*0.05</f>
        <v>7539.9599999999991</v>
      </c>
      <c r="AK42" s="224">
        <f t="shared" si="28"/>
        <v>158339.15999999997</v>
      </c>
    </row>
    <row r="43" spans="1:37" s="226" customFormat="1" ht="25.5" x14ac:dyDescent="0.25">
      <c r="A43" s="494">
        <v>21</v>
      </c>
      <c r="B43" s="517" t="s">
        <v>960</v>
      </c>
      <c r="C43" s="515" t="s">
        <v>497</v>
      </c>
      <c r="D43" s="515" t="s">
        <v>519</v>
      </c>
      <c r="E43" s="513">
        <v>1</v>
      </c>
      <c r="F43" s="515" t="s">
        <v>961</v>
      </c>
      <c r="G43" s="516">
        <v>1.9</v>
      </c>
      <c r="H43" s="500">
        <f t="shared" si="18"/>
        <v>125666</v>
      </c>
      <c r="I43" s="225">
        <f>I37+I42</f>
        <v>0</v>
      </c>
      <c r="J43" s="512"/>
      <c r="K43" s="224">
        <f t="shared" si="19"/>
        <v>125666</v>
      </c>
      <c r="L43" s="513">
        <v>1</v>
      </c>
      <c r="M43" s="515" t="s">
        <v>978</v>
      </c>
      <c r="N43" s="516">
        <v>1.68</v>
      </c>
      <c r="O43" s="514">
        <f>N43*66140</f>
        <v>111115.2</v>
      </c>
      <c r="P43" s="514"/>
      <c r="Q43" s="514"/>
      <c r="R43" s="514">
        <f>O43+P43+Q43</f>
        <v>111115.2</v>
      </c>
      <c r="S43" s="224">
        <f t="shared" si="26"/>
        <v>0</v>
      </c>
      <c r="T43" s="224">
        <f t="shared" si="25"/>
        <v>14550.800000000003</v>
      </c>
      <c r="U43" s="224">
        <f t="shared" si="25"/>
        <v>0</v>
      </c>
      <c r="V43" s="224">
        <f t="shared" si="25"/>
        <v>0</v>
      </c>
      <c r="W43" s="224">
        <f t="shared" si="29"/>
        <v>14550.800000000003</v>
      </c>
      <c r="X43" s="513">
        <v>1</v>
      </c>
      <c r="Y43" s="515" t="s">
        <v>985</v>
      </c>
      <c r="Z43" s="516">
        <v>1.79</v>
      </c>
      <c r="AA43" s="500">
        <f t="shared" si="21"/>
        <v>118390.6</v>
      </c>
      <c r="AB43" s="225">
        <f>AB37+AB42</f>
        <v>0</v>
      </c>
      <c r="AC43" s="514"/>
      <c r="AD43" s="224">
        <f t="shared" si="27"/>
        <v>118390.6</v>
      </c>
      <c r="AE43" s="513">
        <v>1</v>
      </c>
      <c r="AF43" s="515" t="s">
        <v>997</v>
      </c>
      <c r="AG43" s="516">
        <v>1.84</v>
      </c>
      <c r="AH43" s="500">
        <f t="shared" si="24"/>
        <v>121697.60000000001</v>
      </c>
      <c r="AI43" s="225">
        <f>AI37+AI42</f>
        <v>0</v>
      </c>
      <c r="AJ43" s="514"/>
      <c r="AK43" s="224">
        <f t="shared" si="28"/>
        <v>121697.60000000001</v>
      </c>
    </row>
    <row r="44" spans="1:37" x14ac:dyDescent="0.25">
      <c r="A44" s="494"/>
      <c r="B44" s="518" t="s">
        <v>169</v>
      </c>
      <c r="C44" s="519" t="s">
        <v>1</v>
      </c>
      <c r="D44" s="519" t="s">
        <v>1</v>
      </c>
      <c r="E44" s="520">
        <f>SUM(E34:E43)</f>
        <v>8</v>
      </c>
      <c r="F44" s="519" t="s">
        <v>1</v>
      </c>
      <c r="G44" s="519" t="s">
        <v>1</v>
      </c>
      <c r="H44" s="520">
        <f>H34+H36+H37+H38+H40+H41+H42+H43</f>
        <v>1746757.4</v>
      </c>
      <c r="I44" s="520">
        <f>I34+I36+I37+I38+I40+I41+I42+I43</f>
        <v>0</v>
      </c>
      <c r="J44" s="520">
        <f>J34+J36+J37+J38+J40+J41+J42+J43</f>
        <v>65511.670000000006</v>
      </c>
      <c r="K44" s="520">
        <f>K34+K36+K37+K38+K40+K41+K42+K43</f>
        <v>1812269.0699999998</v>
      </c>
      <c r="L44" s="520">
        <f>SUM(L34:L43)</f>
        <v>8</v>
      </c>
      <c r="M44" s="519" t="s">
        <v>1</v>
      </c>
      <c r="N44" s="519" t="s">
        <v>1</v>
      </c>
      <c r="O44" s="520">
        <f>SUM(O34:O43)</f>
        <v>1712364.5999999999</v>
      </c>
      <c r="P44" s="520">
        <f>SUM(P34:P43)</f>
        <v>0</v>
      </c>
      <c r="Q44" s="521">
        <f>SUM(Q34:Q43)</f>
        <v>64519.570000000007</v>
      </c>
      <c r="R44" s="520">
        <f>R34+R36+R37+R38+R40+R41+R42+R43</f>
        <v>1776884.1700000002</v>
      </c>
      <c r="S44" s="224">
        <f t="shared" si="26"/>
        <v>0</v>
      </c>
      <c r="T44" s="224">
        <f t="shared" si="25"/>
        <v>34392.800000000047</v>
      </c>
      <c r="U44" s="224">
        <f t="shared" si="25"/>
        <v>0</v>
      </c>
      <c r="V44" s="224">
        <f t="shared" si="25"/>
        <v>992.09999999999854</v>
      </c>
      <c r="W44" s="224">
        <f t="shared" si="29"/>
        <v>35384.900000000045</v>
      </c>
      <c r="X44" s="520">
        <f>SUM(X34:X43)</f>
        <v>8</v>
      </c>
      <c r="Y44" s="519" t="s">
        <v>1</v>
      </c>
      <c r="Z44" s="519" t="s">
        <v>1</v>
      </c>
      <c r="AA44" s="521">
        <f>SUM(AA34:AA43)</f>
        <v>1765938</v>
      </c>
      <c r="AB44" s="521">
        <f>SUM(AB34:AB43)</f>
        <v>0</v>
      </c>
      <c r="AC44" s="521">
        <f>SUM(AC34:AC43)</f>
        <v>65809.3</v>
      </c>
      <c r="AD44" s="521">
        <f>SUM(AD34:AD43)</f>
        <v>1831747.3000000003</v>
      </c>
      <c r="AE44" s="520">
        <f>SUM(AE34:AE43)</f>
        <v>8</v>
      </c>
      <c r="AF44" s="519" t="s">
        <v>1</v>
      </c>
      <c r="AG44" s="519" t="s">
        <v>1</v>
      </c>
      <c r="AH44" s="521">
        <f>SUM(AH34:AH43)</f>
        <v>1785118.5999999999</v>
      </c>
      <c r="AI44" s="521">
        <f>SUM(AI34:AI43)</f>
        <v>0</v>
      </c>
      <c r="AJ44" s="521">
        <f>SUM(AJ34:AJ43)</f>
        <v>66040.790000000008</v>
      </c>
      <c r="AK44" s="521">
        <f>SUM(AK34:AK43)</f>
        <v>1851159.39</v>
      </c>
    </row>
    <row r="45" spans="1:37" x14ac:dyDescent="0.25">
      <c r="A45" s="494"/>
      <c r="B45" s="605" t="s">
        <v>523</v>
      </c>
      <c r="C45" s="605"/>
      <c r="D45" s="605"/>
      <c r="E45" s="511"/>
      <c r="F45" s="496"/>
      <c r="G45" s="506"/>
      <c r="H45" s="500">
        <f t="shared" si="18"/>
        <v>0</v>
      </c>
      <c r="I45" s="103"/>
      <c r="J45" s="512"/>
      <c r="K45" s="224">
        <f t="shared" si="19"/>
        <v>0</v>
      </c>
      <c r="L45" s="511"/>
      <c r="M45" s="496"/>
      <c r="N45" s="506"/>
      <c r="O45" s="512"/>
      <c r="P45" s="512"/>
      <c r="Q45" s="512"/>
      <c r="R45" s="512"/>
      <c r="S45" s="224">
        <f t="shared" si="26"/>
        <v>0</v>
      </c>
      <c r="T45" s="224">
        <f t="shared" si="25"/>
        <v>0</v>
      </c>
      <c r="U45" s="224">
        <f t="shared" si="25"/>
        <v>0</v>
      </c>
      <c r="V45" s="224">
        <f t="shared" si="25"/>
        <v>0</v>
      </c>
      <c r="W45" s="224">
        <f t="shared" si="29"/>
        <v>0</v>
      </c>
      <c r="X45" s="511"/>
      <c r="Y45" s="496"/>
      <c r="Z45" s="506"/>
      <c r="AA45" s="500">
        <f t="shared" si="21"/>
        <v>0</v>
      </c>
      <c r="AB45" s="103"/>
      <c r="AC45" s="512"/>
      <c r="AD45" s="224">
        <f t="shared" si="27"/>
        <v>0</v>
      </c>
      <c r="AE45" s="511"/>
      <c r="AF45" s="496"/>
      <c r="AG45" s="506"/>
      <c r="AH45" s="500">
        <f t="shared" si="24"/>
        <v>0</v>
      </c>
      <c r="AI45" s="103"/>
      <c r="AJ45" s="512"/>
      <c r="AK45" s="224">
        <f t="shared" si="28"/>
        <v>0</v>
      </c>
    </row>
    <row r="46" spans="1:37" ht="25.5" x14ac:dyDescent="0.25">
      <c r="A46" s="494">
        <v>22</v>
      </c>
      <c r="B46" s="517" t="s">
        <v>524</v>
      </c>
      <c r="C46" s="517" t="s">
        <v>525</v>
      </c>
      <c r="D46" s="515" t="s">
        <v>526</v>
      </c>
      <c r="E46" s="511">
        <v>1</v>
      </c>
      <c r="F46" s="501" t="s">
        <v>957</v>
      </c>
      <c r="G46" s="506">
        <v>5.35</v>
      </c>
      <c r="H46" s="500">
        <f t="shared" si="18"/>
        <v>353849</v>
      </c>
      <c r="I46" s="223"/>
      <c r="J46" s="523"/>
      <c r="K46" s="224">
        <f t="shared" si="19"/>
        <v>353849</v>
      </c>
      <c r="L46" s="511">
        <v>1</v>
      </c>
      <c r="M46" s="515" t="s">
        <v>527</v>
      </c>
      <c r="N46" s="516">
        <v>5.18</v>
      </c>
      <c r="O46" s="512">
        <f>N46*66140</f>
        <v>342605.19999999995</v>
      </c>
      <c r="P46" s="512"/>
      <c r="Q46" s="522"/>
      <c r="R46" s="512">
        <f>O46+P46+Q46</f>
        <v>342605.19999999995</v>
      </c>
      <c r="S46" s="224">
        <f t="shared" si="26"/>
        <v>0</v>
      </c>
      <c r="T46" s="224">
        <f t="shared" si="25"/>
        <v>11243.800000000047</v>
      </c>
      <c r="U46" s="224">
        <f t="shared" si="25"/>
        <v>0</v>
      </c>
      <c r="V46" s="224">
        <f t="shared" si="25"/>
        <v>0</v>
      </c>
      <c r="W46" s="224">
        <f t="shared" si="29"/>
        <v>11243.800000000047</v>
      </c>
      <c r="X46" s="511">
        <v>1</v>
      </c>
      <c r="Y46" s="501" t="s">
        <v>528</v>
      </c>
      <c r="Z46" s="506">
        <v>5.35</v>
      </c>
      <c r="AA46" s="500">
        <f t="shared" si="21"/>
        <v>353849</v>
      </c>
      <c r="AB46" s="223"/>
      <c r="AC46" s="523"/>
      <c r="AD46" s="224">
        <f t="shared" si="27"/>
        <v>353849</v>
      </c>
      <c r="AE46" s="511">
        <v>1</v>
      </c>
      <c r="AF46" s="501" t="s">
        <v>1005</v>
      </c>
      <c r="AG46" s="506">
        <v>5.35</v>
      </c>
      <c r="AH46" s="500">
        <f t="shared" si="24"/>
        <v>353849</v>
      </c>
      <c r="AI46" s="223"/>
      <c r="AJ46" s="523"/>
      <c r="AK46" s="224">
        <f t="shared" si="28"/>
        <v>353849</v>
      </c>
    </row>
    <row r="47" spans="1:37" ht="25.5" x14ac:dyDescent="0.25">
      <c r="A47" s="494">
        <v>23</v>
      </c>
      <c r="B47" s="517" t="s">
        <v>529</v>
      </c>
      <c r="C47" s="515" t="s">
        <v>530</v>
      </c>
      <c r="D47" s="515" t="s">
        <v>531</v>
      </c>
      <c r="E47" s="513">
        <v>1</v>
      </c>
      <c r="F47" s="515" t="s">
        <v>533</v>
      </c>
      <c r="G47" s="516">
        <v>4.55</v>
      </c>
      <c r="H47" s="500">
        <f t="shared" si="18"/>
        <v>300937</v>
      </c>
      <c r="I47" s="184"/>
      <c r="J47" s="523">
        <f t="shared" ref="J47:J55" si="30">H47*5/100</f>
        <v>15046.85</v>
      </c>
      <c r="K47" s="224">
        <f t="shared" si="19"/>
        <v>315983.84999999998</v>
      </c>
      <c r="L47" s="513">
        <v>1</v>
      </c>
      <c r="M47" s="515" t="s">
        <v>532</v>
      </c>
      <c r="N47" s="516">
        <v>4.41</v>
      </c>
      <c r="O47" s="514">
        <f>N47*66140</f>
        <v>291677.40000000002</v>
      </c>
      <c r="P47" s="514"/>
      <c r="Q47" s="522">
        <f>O47*0.05</f>
        <v>14583.870000000003</v>
      </c>
      <c r="R47" s="514">
        <f>O47+P47+Q47</f>
        <v>306261.27</v>
      </c>
      <c r="S47" s="224">
        <f t="shared" si="26"/>
        <v>0</v>
      </c>
      <c r="T47" s="224">
        <f t="shared" si="25"/>
        <v>9259.5999999999767</v>
      </c>
      <c r="U47" s="224">
        <f t="shared" si="25"/>
        <v>0</v>
      </c>
      <c r="V47" s="224">
        <f t="shared" si="25"/>
        <v>462.97999999999774</v>
      </c>
      <c r="W47" s="224">
        <f t="shared" si="29"/>
        <v>9722.5799999999745</v>
      </c>
      <c r="X47" s="513">
        <v>1</v>
      </c>
      <c r="Y47" s="515" t="s">
        <v>534</v>
      </c>
      <c r="Z47" s="516">
        <v>4.55</v>
      </c>
      <c r="AA47" s="500">
        <f t="shared" si="21"/>
        <v>300937</v>
      </c>
      <c r="AB47" s="184"/>
      <c r="AC47" s="522">
        <f>AA47*5/100</f>
        <v>15046.85</v>
      </c>
      <c r="AD47" s="224">
        <f t="shared" si="27"/>
        <v>315983.84999999998</v>
      </c>
      <c r="AE47" s="513">
        <v>1</v>
      </c>
      <c r="AF47" s="515" t="s">
        <v>1006</v>
      </c>
      <c r="AG47" s="516">
        <v>4.55</v>
      </c>
      <c r="AH47" s="500">
        <f t="shared" si="24"/>
        <v>300937</v>
      </c>
      <c r="AI47" s="184"/>
      <c r="AJ47" s="522">
        <f>AH47*5/100</f>
        <v>15046.85</v>
      </c>
      <c r="AK47" s="224">
        <f t="shared" si="28"/>
        <v>315983.84999999998</v>
      </c>
    </row>
    <row r="48" spans="1:37" ht="25.5" x14ac:dyDescent="0.25">
      <c r="A48" s="494">
        <v>24</v>
      </c>
      <c r="B48" s="517" t="s">
        <v>535</v>
      </c>
      <c r="C48" s="515" t="s">
        <v>536</v>
      </c>
      <c r="D48" s="515" t="s">
        <v>537</v>
      </c>
      <c r="E48" s="513">
        <v>1</v>
      </c>
      <c r="F48" s="515" t="s">
        <v>539</v>
      </c>
      <c r="G48" s="516">
        <v>3.76</v>
      </c>
      <c r="H48" s="500">
        <f t="shared" si="18"/>
        <v>248686.4</v>
      </c>
      <c r="I48" s="103"/>
      <c r="J48" s="523">
        <f t="shared" si="30"/>
        <v>12434.32</v>
      </c>
      <c r="K48" s="224">
        <f t="shared" si="19"/>
        <v>261120.72</v>
      </c>
      <c r="L48" s="513">
        <v>1</v>
      </c>
      <c r="M48" s="515" t="s">
        <v>538</v>
      </c>
      <c r="N48" s="516">
        <v>3.64</v>
      </c>
      <c r="O48" s="514">
        <f>N48*66140</f>
        <v>240749.6</v>
      </c>
      <c r="P48" s="514"/>
      <c r="Q48" s="522">
        <f>O48*0.05</f>
        <v>12037.480000000001</v>
      </c>
      <c r="R48" s="514">
        <f>O48+P48+Q48</f>
        <v>252787.08000000002</v>
      </c>
      <c r="S48" s="224">
        <f t="shared" si="26"/>
        <v>0</v>
      </c>
      <c r="T48" s="224">
        <f t="shared" si="25"/>
        <v>7936.7999999999884</v>
      </c>
      <c r="U48" s="224">
        <f t="shared" si="25"/>
        <v>0</v>
      </c>
      <c r="V48" s="224">
        <f t="shared" si="25"/>
        <v>396.83999999999833</v>
      </c>
      <c r="W48" s="224">
        <f t="shared" si="29"/>
        <v>8333.6399999999867</v>
      </c>
      <c r="X48" s="513">
        <v>1</v>
      </c>
      <c r="Y48" s="515" t="s">
        <v>540</v>
      </c>
      <c r="Z48" s="516">
        <v>3.76</v>
      </c>
      <c r="AA48" s="500">
        <f t="shared" si="21"/>
        <v>248686.4</v>
      </c>
      <c r="AB48" s="103"/>
      <c r="AC48" s="522">
        <f t="shared" ref="AC48:AC55" si="31">AA48*5/100</f>
        <v>12434.32</v>
      </c>
      <c r="AD48" s="224">
        <f t="shared" si="27"/>
        <v>261120.72</v>
      </c>
      <c r="AE48" s="513">
        <v>1</v>
      </c>
      <c r="AF48" s="515" t="s">
        <v>1007</v>
      </c>
      <c r="AG48" s="516">
        <v>3.88</v>
      </c>
      <c r="AH48" s="500">
        <f t="shared" si="24"/>
        <v>256623.19999999998</v>
      </c>
      <c r="AI48" s="103"/>
      <c r="AJ48" s="522">
        <f>AH48*5/100</f>
        <v>12831.16</v>
      </c>
      <c r="AK48" s="224">
        <f t="shared" si="28"/>
        <v>269454.36</v>
      </c>
    </row>
    <row r="49" spans="1:37" x14ac:dyDescent="0.25">
      <c r="A49" s="494"/>
      <c r="B49" s="605" t="s">
        <v>541</v>
      </c>
      <c r="C49" s="605"/>
      <c r="D49" s="605"/>
      <c r="E49" s="511"/>
      <c r="F49" s="498"/>
      <c r="G49" s="506"/>
      <c r="H49" s="500">
        <f t="shared" si="18"/>
        <v>0</v>
      </c>
      <c r="I49" s="103"/>
      <c r="J49" s="523">
        <f t="shared" si="30"/>
        <v>0</v>
      </c>
      <c r="K49" s="224">
        <f t="shared" si="19"/>
        <v>0</v>
      </c>
      <c r="L49" s="511"/>
      <c r="M49" s="498"/>
      <c r="N49" s="506"/>
      <c r="O49" s="512"/>
      <c r="P49" s="512"/>
      <c r="Q49" s="523"/>
      <c r="R49" s="512"/>
      <c r="S49" s="224">
        <f t="shared" si="26"/>
        <v>0</v>
      </c>
      <c r="T49" s="224">
        <f t="shared" si="25"/>
        <v>0</v>
      </c>
      <c r="U49" s="224">
        <f t="shared" si="25"/>
        <v>0</v>
      </c>
      <c r="V49" s="224">
        <f t="shared" si="25"/>
        <v>0</v>
      </c>
      <c r="W49" s="224">
        <f t="shared" si="29"/>
        <v>0</v>
      </c>
      <c r="X49" s="511"/>
      <c r="Y49" s="498"/>
      <c r="Z49" s="506"/>
      <c r="AA49" s="500">
        <f t="shared" si="21"/>
        <v>0</v>
      </c>
      <c r="AB49" s="103"/>
      <c r="AC49" s="522">
        <f t="shared" si="31"/>
        <v>0</v>
      </c>
      <c r="AD49" s="224">
        <f t="shared" si="27"/>
        <v>0</v>
      </c>
      <c r="AE49" s="511"/>
      <c r="AF49" s="498"/>
      <c r="AG49" s="506"/>
      <c r="AH49" s="500">
        <f t="shared" si="24"/>
        <v>0</v>
      </c>
      <c r="AI49" s="103"/>
      <c r="AJ49" s="522">
        <f>AH49*5/100</f>
        <v>0</v>
      </c>
      <c r="AK49" s="224">
        <f t="shared" si="28"/>
        <v>0</v>
      </c>
    </row>
    <row r="50" spans="1:37" ht="25.5" x14ac:dyDescent="0.25">
      <c r="A50" s="494">
        <v>25</v>
      </c>
      <c r="B50" s="517" t="s">
        <v>542</v>
      </c>
      <c r="C50" s="517" t="s">
        <v>481</v>
      </c>
      <c r="D50" s="515" t="s">
        <v>543</v>
      </c>
      <c r="E50" s="511">
        <v>1</v>
      </c>
      <c r="F50" s="501" t="s">
        <v>544</v>
      </c>
      <c r="G50" s="506">
        <v>4.41</v>
      </c>
      <c r="H50" s="500">
        <f t="shared" si="18"/>
        <v>291677.40000000002</v>
      </c>
      <c r="I50" s="103"/>
      <c r="J50" s="523">
        <f t="shared" si="30"/>
        <v>14583.87</v>
      </c>
      <c r="K50" s="224">
        <f t="shared" si="19"/>
        <v>306261.27</v>
      </c>
      <c r="L50" s="511">
        <v>1</v>
      </c>
      <c r="M50" s="515" t="s">
        <v>986</v>
      </c>
      <c r="N50" s="516">
        <v>4.41</v>
      </c>
      <c r="O50" s="512">
        <f>N50*66140</f>
        <v>291677.40000000002</v>
      </c>
      <c r="P50" s="512"/>
      <c r="Q50" s="522">
        <f>O50*0.05</f>
        <v>14583.870000000003</v>
      </c>
      <c r="R50" s="512">
        <f>O50+P50+Q50</f>
        <v>306261.27</v>
      </c>
      <c r="S50" s="224">
        <f t="shared" si="26"/>
        <v>0</v>
      </c>
      <c r="T50" s="224">
        <f t="shared" si="25"/>
        <v>0</v>
      </c>
      <c r="U50" s="224">
        <f t="shared" si="25"/>
        <v>0</v>
      </c>
      <c r="V50" s="224">
        <f t="shared" si="25"/>
        <v>0</v>
      </c>
      <c r="W50" s="224">
        <f t="shared" si="29"/>
        <v>0</v>
      </c>
      <c r="X50" s="511">
        <v>1</v>
      </c>
      <c r="Y50" s="501" t="s">
        <v>545</v>
      </c>
      <c r="Z50" s="506">
        <v>4.55</v>
      </c>
      <c r="AA50" s="500">
        <f t="shared" si="21"/>
        <v>300937</v>
      </c>
      <c r="AB50" s="103"/>
      <c r="AC50" s="522">
        <f t="shared" si="31"/>
        <v>15046.85</v>
      </c>
      <c r="AD50" s="224">
        <f t="shared" si="27"/>
        <v>315983.84999999998</v>
      </c>
      <c r="AE50" s="511">
        <v>1</v>
      </c>
      <c r="AF50" s="501" t="s">
        <v>1008</v>
      </c>
      <c r="AG50" s="506">
        <v>4.55</v>
      </c>
      <c r="AH50" s="500">
        <f t="shared" si="24"/>
        <v>300937</v>
      </c>
      <c r="AI50" s="103"/>
      <c r="AJ50" s="522">
        <f>AH50*5/100</f>
        <v>15046.85</v>
      </c>
      <c r="AK50" s="224">
        <f t="shared" si="28"/>
        <v>315983.84999999998</v>
      </c>
    </row>
    <row r="51" spans="1:37" s="226" customFormat="1" ht="25.5" x14ac:dyDescent="0.25">
      <c r="A51" s="494">
        <v>26</v>
      </c>
      <c r="B51" s="517" t="s">
        <v>546</v>
      </c>
      <c r="C51" s="517" t="s">
        <v>536</v>
      </c>
      <c r="D51" s="515" t="s">
        <v>547</v>
      </c>
      <c r="E51" s="513">
        <v>1</v>
      </c>
      <c r="F51" s="515" t="s">
        <v>549</v>
      </c>
      <c r="G51" s="516">
        <v>3.64</v>
      </c>
      <c r="H51" s="500">
        <f t="shared" si="18"/>
        <v>240749.6</v>
      </c>
      <c r="I51" s="225">
        <f>SUM(I48:I50)</f>
        <v>0</v>
      </c>
      <c r="J51" s="523">
        <f t="shared" si="30"/>
        <v>12037.48</v>
      </c>
      <c r="K51" s="224">
        <f t="shared" si="19"/>
        <v>252787.08000000002</v>
      </c>
      <c r="L51" s="513">
        <v>1</v>
      </c>
      <c r="M51" s="515" t="s">
        <v>548</v>
      </c>
      <c r="N51" s="516">
        <v>3.53</v>
      </c>
      <c r="O51" s="514">
        <f>N51*66140</f>
        <v>233474.19999999998</v>
      </c>
      <c r="P51" s="514"/>
      <c r="Q51" s="522">
        <f>O51*0.05</f>
        <v>11673.71</v>
      </c>
      <c r="R51" s="514">
        <f>O51+P51+Q51</f>
        <v>245147.90999999997</v>
      </c>
      <c r="S51" s="224">
        <f t="shared" si="26"/>
        <v>0</v>
      </c>
      <c r="T51" s="224">
        <f t="shared" si="25"/>
        <v>7275.4000000000233</v>
      </c>
      <c r="U51" s="224">
        <f t="shared" si="25"/>
        <v>0</v>
      </c>
      <c r="V51" s="224">
        <f t="shared" si="25"/>
        <v>363.77000000000044</v>
      </c>
      <c r="W51" s="224">
        <f t="shared" si="29"/>
        <v>7639.1700000000237</v>
      </c>
      <c r="X51" s="513">
        <v>1</v>
      </c>
      <c r="Y51" s="515" t="s">
        <v>550</v>
      </c>
      <c r="Z51" s="516">
        <v>3.76</v>
      </c>
      <c r="AA51" s="500">
        <f t="shared" si="21"/>
        <v>248686.4</v>
      </c>
      <c r="AB51" s="225">
        <f>SUM(AB48:AB50)</f>
        <v>0</v>
      </c>
      <c r="AC51" s="522">
        <f t="shared" si="31"/>
        <v>12434.32</v>
      </c>
      <c r="AD51" s="224">
        <f t="shared" si="27"/>
        <v>261120.72</v>
      </c>
      <c r="AE51" s="513">
        <v>1</v>
      </c>
      <c r="AF51" s="515" t="s">
        <v>1009</v>
      </c>
      <c r="AG51" s="516">
        <v>3.76</v>
      </c>
      <c r="AH51" s="500">
        <f t="shared" si="24"/>
        <v>248686.4</v>
      </c>
      <c r="AI51" s="225">
        <f>SUM(AI48:AI50)</f>
        <v>0</v>
      </c>
      <c r="AJ51" s="522">
        <f>AH51*5/100</f>
        <v>12434.32</v>
      </c>
      <c r="AK51" s="224">
        <f t="shared" si="28"/>
        <v>261120.72</v>
      </c>
    </row>
    <row r="52" spans="1:37" ht="25.5" x14ac:dyDescent="0.25">
      <c r="A52" s="494">
        <v>27</v>
      </c>
      <c r="B52" s="498" t="s">
        <v>551</v>
      </c>
      <c r="C52" s="498" t="s">
        <v>491</v>
      </c>
      <c r="D52" s="501" t="s">
        <v>552</v>
      </c>
      <c r="E52" s="511">
        <v>1</v>
      </c>
      <c r="F52" s="501" t="s">
        <v>553</v>
      </c>
      <c r="G52" s="506">
        <v>2.66</v>
      </c>
      <c r="H52" s="500">
        <f t="shared" si="18"/>
        <v>175932.40000000002</v>
      </c>
      <c r="I52" s="224"/>
      <c r="J52" s="523"/>
      <c r="K52" s="224">
        <f t="shared" si="19"/>
        <v>175932.40000000002</v>
      </c>
      <c r="L52" s="511">
        <v>1</v>
      </c>
      <c r="M52" s="501" t="s">
        <v>987</v>
      </c>
      <c r="N52" s="506">
        <v>2.4300000000000002</v>
      </c>
      <c r="O52" s="512">
        <f>N52*66140</f>
        <v>160720.20000000001</v>
      </c>
      <c r="P52" s="512"/>
      <c r="Q52" s="523"/>
      <c r="R52" s="512">
        <f>O52+P52+Q52</f>
        <v>160720.20000000001</v>
      </c>
      <c r="S52" s="224">
        <f t="shared" si="26"/>
        <v>0</v>
      </c>
      <c r="T52" s="224">
        <f t="shared" si="25"/>
        <v>15212.200000000012</v>
      </c>
      <c r="U52" s="224">
        <f t="shared" si="25"/>
        <v>0</v>
      </c>
      <c r="V52" s="224">
        <f t="shared" si="25"/>
        <v>0</v>
      </c>
      <c r="W52" s="224">
        <f t="shared" si="29"/>
        <v>15212.200000000012</v>
      </c>
      <c r="X52" s="511">
        <v>1</v>
      </c>
      <c r="Y52" s="501" t="s">
        <v>554</v>
      </c>
      <c r="Z52" s="506">
        <v>2.66</v>
      </c>
      <c r="AA52" s="500">
        <f t="shared" si="21"/>
        <v>175932.40000000002</v>
      </c>
      <c r="AB52" s="224"/>
      <c r="AC52" s="522"/>
      <c r="AD52" s="224">
        <f t="shared" si="27"/>
        <v>175932.40000000002</v>
      </c>
      <c r="AE52" s="511">
        <v>1</v>
      </c>
      <c r="AF52" s="501" t="s">
        <v>1010</v>
      </c>
      <c r="AG52" s="506">
        <v>2.66</v>
      </c>
      <c r="AH52" s="500">
        <f t="shared" si="24"/>
        <v>175932.40000000002</v>
      </c>
      <c r="AI52" s="224"/>
      <c r="AJ52" s="522"/>
      <c r="AK52" s="224">
        <f t="shared" si="28"/>
        <v>175932.40000000002</v>
      </c>
    </row>
    <row r="53" spans="1:37" s="231" customFormat="1" ht="14.25" x14ac:dyDescent="0.25">
      <c r="A53" s="494"/>
      <c r="B53" s="605" t="s">
        <v>555</v>
      </c>
      <c r="C53" s="605"/>
      <c r="D53" s="605"/>
      <c r="E53" s="511"/>
      <c r="F53" s="498"/>
      <c r="G53" s="506"/>
      <c r="H53" s="500">
        <f t="shared" si="18"/>
        <v>0</v>
      </c>
      <c r="I53" s="230">
        <f>I16+I27+I43+I51</f>
        <v>0</v>
      </c>
      <c r="J53" s="523">
        <f t="shared" si="30"/>
        <v>0</v>
      </c>
      <c r="K53" s="224">
        <f t="shared" si="19"/>
        <v>0</v>
      </c>
      <c r="L53" s="511"/>
      <c r="M53" s="498"/>
      <c r="N53" s="506"/>
      <c r="O53" s="512"/>
      <c r="P53" s="512"/>
      <c r="Q53" s="523"/>
      <c r="R53" s="512"/>
      <c r="S53" s="224">
        <f t="shared" si="26"/>
        <v>0</v>
      </c>
      <c r="T53" s="224">
        <f t="shared" si="25"/>
        <v>0</v>
      </c>
      <c r="U53" s="224">
        <f t="shared" si="25"/>
        <v>0</v>
      </c>
      <c r="V53" s="224">
        <f t="shared" si="25"/>
        <v>0</v>
      </c>
      <c r="W53" s="224">
        <f t="shared" si="29"/>
        <v>0</v>
      </c>
      <c r="X53" s="511"/>
      <c r="Y53" s="498"/>
      <c r="Z53" s="506"/>
      <c r="AA53" s="500">
        <f t="shared" si="21"/>
        <v>0</v>
      </c>
      <c r="AB53" s="230">
        <f>AB16+AB27+AB43+AB51</f>
        <v>0</v>
      </c>
      <c r="AC53" s="522">
        <f t="shared" si="31"/>
        <v>0</v>
      </c>
      <c r="AD53" s="224">
        <f t="shared" si="27"/>
        <v>0</v>
      </c>
      <c r="AE53" s="511"/>
      <c r="AF53" s="498"/>
      <c r="AG53" s="506"/>
      <c r="AH53" s="500">
        <f t="shared" si="24"/>
        <v>0</v>
      </c>
      <c r="AI53" s="230">
        <f>AI16+AI27+AI43+AI51</f>
        <v>0</v>
      </c>
      <c r="AJ53" s="522">
        <f>AH53*5/100</f>
        <v>0</v>
      </c>
      <c r="AK53" s="224">
        <f t="shared" si="28"/>
        <v>0</v>
      </c>
    </row>
    <row r="54" spans="1:37" s="16" customFormat="1" ht="12" customHeight="1" x14ac:dyDescent="0.25">
      <c r="A54" s="494">
        <v>28</v>
      </c>
      <c r="B54" s="510" t="s">
        <v>556</v>
      </c>
      <c r="C54" s="498" t="s">
        <v>481</v>
      </c>
      <c r="D54" s="501" t="s">
        <v>557</v>
      </c>
      <c r="E54" s="513">
        <v>1</v>
      </c>
      <c r="F54" s="515">
        <v>0</v>
      </c>
      <c r="G54" s="516">
        <v>4.55</v>
      </c>
      <c r="H54" s="500">
        <f t="shared" si="18"/>
        <v>300937</v>
      </c>
      <c r="I54" s="114"/>
      <c r="J54" s="523"/>
      <c r="K54" s="224">
        <f t="shared" si="19"/>
        <v>300937</v>
      </c>
      <c r="L54" s="513">
        <v>1</v>
      </c>
      <c r="M54" s="501"/>
      <c r="N54" s="506">
        <v>4.55</v>
      </c>
      <c r="O54" s="514">
        <f>N54*66140</f>
        <v>300937</v>
      </c>
      <c r="P54" s="514"/>
      <c r="Q54" s="523"/>
      <c r="R54" s="514">
        <f>O54+P54+Q54</f>
        <v>300937</v>
      </c>
      <c r="S54" s="224">
        <f t="shared" si="26"/>
        <v>0</v>
      </c>
      <c r="T54" s="224">
        <f t="shared" si="25"/>
        <v>0</v>
      </c>
      <c r="U54" s="224">
        <f t="shared" si="25"/>
        <v>0</v>
      </c>
      <c r="V54" s="224">
        <f t="shared" si="25"/>
        <v>0</v>
      </c>
      <c r="W54" s="224">
        <f t="shared" si="29"/>
        <v>0</v>
      </c>
      <c r="X54" s="513">
        <v>1</v>
      </c>
      <c r="Y54" s="515"/>
      <c r="Z54" s="516">
        <v>4.55</v>
      </c>
      <c r="AA54" s="500">
        <f t="shared" si="21"/>
        <v>300937</v>
      </c>
      <c r="AB54" s="114"/>
      <c r="AC54" s="522"/>
      <c r="AD54" s="224">
        <f t="shared" si="27"/>
        <v>300937</v>
      </c>
      <c r="AE54" s="513">
        <v>1</v>
      </c>
      <c r="AF54" s="515"/>
      <c r="AG54" s="516">
        <v>4.55</v>
      </c>
      <c r="AH54" s="500">
        <f t="shared" si="24"/>
        <v>300937</v>
      </c>
      <c r="AI54" s="114"/>
      <c r="AJ54" s="522"/>
      <c r="AK54" s="224">
        <f t="shared" si="28"/>
        <v>300937</v>
      </c>
    </row>
    <row r="55" spans="1:37" ht="25.5" x14ac:dyDescent="0.25">
      <c r="A55" s="494">
        <v>29</v>
      </c>
      <c r="B55" s="517" t="s">
        <v>558</v>
      </c>
      <c r="C55" s="517" t="s">
        <v>491</v>
      </c>
      <c r="D55" s="515" t="s">
        <v>559</v>
      </c>
      <c r="E55" s="513">
        <v>1</v>
      </c>
      <c r="F55" s="515" t="s">
        <v>539</v>
      </c>
      <c r="G55" s="516">
        <v>2.66</v>
      </c>
      <c r="H55" s="500">
        <f t="shared" si="18"/>
        <v>175932.40000000002</v>
      </c>
      <c r="I55" s="106"/>
      <c r="J55" s="523">
        <f t="shared" si="30"/>
        <v>8796.6200000000008</v>
      </c>
      <c r="K55" s="224">
        <f t="shared" si="19"/>
        <v>184729.02000000002</v>
      </c>
      <c r="L55" s="513">
        <v>1</v>
      </c>
      <c r="M55" s="515" t="s">
        <v>538</v>
      </c>
      <c r="N55" s="516">
        <v>2.58</v>
      </c>
      <c r="O55" s="514">
        <f>N55*66140</f>
        <v>170641.2</v>
      </c>
      <c r="P55" s="514"/>
      <c r="Q55" s="522">
        <f>O55*0.05</f>
        <v>8532.0600000000013</v>
      </c>
      <c r="R55" s="514">
        <f>O55+P55+Q55</f>
        <v>179173.26</v>
      </c>
      <c r="S55" s="224">
        <f t="shared" si="26"/>
        <v>0</v>
      </c>
      <c r="T55" s="224">
        <f t="shared" ref="T55:V70" si="32">H55-O55</f>
        <v>5291.2000000000116</v>
      </c>
      <c r="U55" s="224">
        <f t="shared" si="32"/>
        <v>0</v>
      </c>
      <c r="V55" s="224">
        <f t="shared" si="32"/>
        <v>264.55999999999949</v>
      </c>
      <c r="W55" s="224">
        <f t="shared" si="29"/>
        <v>5555.7600000000111</v>
      </c>
      <c r="X55" s="513">
        <v>1</v>
      </c>
      <c r="Y55" s="515" t="s">
        <v>540</v>
      </c>
      <c r="Z55" s="516">
        <v>2.66</v>
      </c>
      <c r="AA55" s="500">
        <f t="shared" si="21"/>
        <v>175932.40000000002</v>
      </c>
      <c r="AB55" s="106"/>
      <c r="AC55" s="522">
        <f t="shared" si="31"/>
        <v>8796.6200000000008</v>
      </c>
      <c r="AD55" s="224">
        <f t="shared" si="27"/>
        <v>184729.02000000002</v>
      </c>
      <c r="AE55" s="513">
        <v>1</v>
      </c>
      <c r="AF55" s="515" t="s">
        <v>1007</v>
      </c>
      <c r="AG55" s="516">
        <v>2.66</v>
      </c>
      <c r="AH55" s="500">
        <f t="shared" si="24"/>
        <v>175932.40000000002</v>
      </c>
      <c r="AI55" s="106"/>
      <c r="AJ55" s="522">
        <f>AH55*5/100</f>
        <v>8796.6200000000008</v>
      </c>
      <c r="AK55" s="224">
        <f t="shared" si="28"/>
        <v>184729.02000000002</v>
      </c>
    </row>
    <row r="56" spans="1:37" ht="25.5" x14ac:dyDescent="0.25">
      <c r="A56" s="494">
        <v>30</v>
      </c>
      <c r="B56" s="517" t="s">
        <v>560</v>
      </c>
      <c r="C56" s="517" t="s">
        <v>491</v>
      </c>
      <c r="D56" s="515" t="s">
        <v>561</v>
      </c>
      <c r="E56" s="511">
        <v>1</v>
      </c>
      <c r="F56" s="501" t="s">
        <v>563</v>
      </c>
      <c r="G56" s="506">
        <v>2.58</v>
      </c>
      <c r="H56" s="500">
        <f t="shared" si="18"/>
        <v>170641.2</v>
      </c>
      <c r="I56" s="106"/>
      <c r="J56" s="523"/>
      <c r="K56" s="224">
        <f t="shared" si="19"/>
        <v>170641.2</v>
      </c>
      <c r="L56" s="511">
        <v>1</v>
      </c>
      <c r="M56" s="515" t="s">
        <v>562</v>
      </c>
      <c r="N56" s="516">
        <v>2.5</v>
      </c>
      <c r="O56" s="512">
        <f>N56*66140</f>
        <v>165350</v>
      </c>
      <c r="P56" s="512"/>
      <c r="Q56" s="522"/>
      <c r="R56" s="512">
        <f>O56+P56+Q56</f>
        <v>165350</v>
      </c>
      <c r="S56" s="224">
        <f t="shared" si="26"/>
        <v>0</v>
      </c>
      <c r="T56" s="224">
        <f t="shared" si="32"/>
        <v>5291.2000000000116</v>
      </c>
      <c r="U56" s="224">
        <f t="shared" si="32"/>
        <v>0</v>
      </c>
      <c r="V56" s="224">
        <f t="shared" si="32"/>
        <v>0</v>
      </c>
      <c r="W56" s="224">
        <f t="shared" si="29"/>
        <v>5291.2000000000116</v>
      </c>
      <c r="X56" s="511">
        <v>1</v>
      </c>
      <c r="Y56" s="501" t="s">
        <v>564</v>
      </c>
      <c r="Z56" s="506">
        <v>2.58</v>
      </c>
      <c r="AA56" s="500">
        <f t="shared" si="21"/>
        <v>170641.2</v>
      </c>
      <c r="AB56" s="106"/>
      <c r="AC56" s="523"/>
      <c r="AD56" s="224">
        <f t="shared" si="27"/>
        <v>170641.2</v>
      </c>
      <c r="AE56" s="511">
        <v>1</v>
      </c>
      <c r="AF56" s="501" t="s">
        <v>1011</v>
      </c>
      <c r="AG56" s="506">
        <v>2.58</v>
      </c>
      <c r="AH56" s="500">
        <f t="shared" si="24"/>
        <v>170641.2</v>
      </c>
      <c r="AI56" s="106"/>
      <c r="AJ56" s="523"/>
      <c r="AK56" s="224">
        <f t="shared" si="28"/>
        <v>170641.2</v>
      </c>
    </row>
    <row r="57" spans="1:37" ht="19.5" customHeight="1" x14ac:dyDescent="0.25">
      <c r="A57" s="494"/>
      <c r="B57" s="518" t="s">
        <v>169</v>
      </c>
      <c r="C57" s="519" t="s">
        <v>1</v>
      </c>
      <c r="D57" s="519" t="s">
        <v>1</v>
      </c>
      <c r="E57" s="520">
        <f>SUM(E46:E56)</f>
        <v>9</v>
      </c>
      <c r="F57" s="519" t="s">
        <v>1</v>
      </c>
      <c r="G57" s="519" t="s">
        <v>1</v>
      </c>
      <c r="H57" s="520">
        <f>H46+H47+H48+H50+H51+H52+H54+H55+H56</f>
        <v>2259342.4000000004</v>
      </c>
      <c r="I57" s="520">
        <f>I46+I47+I48+I50+I51+I52+I54+I55+I56</f>
        <v>0</v>
      </c>
      <c r="J57" s="520">
        <f>J46+J47+J48+J50+J51+J52+J54+J55+J56</f>
        <v>62899.140000000007</v>
      </c>
      <c r="K57" s="520">
        <f>K46+K47+K48+K50+K51+K52+K54+K55+K56</f>
        <v>2322241.54</v>
      </c>
      <c r="L57" s="520">
        <f>SUM(L46:L56)</f>
        <v>9</v>
      </c>
      <c r="M57" s="519" t="s">
        <v>1</v>
      </c>
      <c r="N57" s="519" t="s">
        <v>1</v>
      </c>
      <c r="O57" s="520">
        <f>SUM(O46:O56)</f>
        <v>2197832.2000000002</v>
      </c>
      <c r="P57" s="520">
        <f>SUM(P46:P56)</f>
        <v>0</v>
      </c>
      <c r="Q57" s="520">
        <f>SUM(Q46:Q56)</f>
        <v>61410.990000000005</v>
      </c>
      <c r="R57" s="520">
        <f>R46+R47+R48+R50+R51+R52+R54+R55+R56</f>
        <v>2259243.19</v>
      </c>
      <c r="S57" s="224">
        <f t="shared" si="26"/>
        <v>0</v>
      </c>
      <c r="T57" s="224">
        <f>H57-R57</f>
        <v>99.210000000428408</v>
      </c>
      <c r="U57" s="224">
        <f t="shared" si="32"/>
        <v>0</v>
      </c>
      <c r="V57" s="224">
        <f t="shared" si="32"/>
        <v>1488.1500000000015</v>
      </c>
      <c r="W57" s="224">
        <f t="shared" si="29"/>
        <v>1587.3600000004299</v>
      </c>
      <c r="X57" s="520">
        <f>SUM(X46:X56)</f>
        <v>9</v>
      </c>
      <c r="Y57" s="519" t="s">
        <v>1</v>
      </c>
      <c r="Z57" s="519" t="s">
        <v>1</v>
      </c>
      <c r="AA57" s="520">
        <f>SUM(AA46:AA56)</f>
        <v>2276538.7999999998</v>
      </c>
      <c r="AB57" s="520">
        <f>SUM(AB46:AB56)</f>
        <v>0</v>
      </c>
      <c r="AC57" s="520">
        <f>SUM(AC46:AC56)</f>
        <v>63758.96</v>
      </c>
      <c r="AD57" s="520">
        <f>SUM(AD46:AD56)</f>
        <v>2340297.7600000002</v>
      </c>
      <c r="AE57" s="520">
        <f>SUM(AE46:AE56)</f>
        <v>9</v>
      </c>
      <c r="AF57" s="519" t="s">
        <v>1</v>
      </c>
      <c r="AG57" s="519" t="s">
        <v>1</v>
      </c>
      <c r="AH57" s="520">
        <f>SUM(AH46:AH56)</f>
        <v>2284475.6</v>
      </c>
      <c r="AI57" s="520">
        <f>SUM(AI46:AI56)</f>
        <v>0</v>
      </c>
      <c r="AJ57" s="520">
        <f>SUM(AJ46:AJ56)</f>
        <v>64155.8</v>
      </c>
      <c r="AK57" s="520">
        <f>SUM(AK46:AK56)</f>
        <v>2348631.4000000004</v>
      </c>
    </row>
    <row r="58" spans="1:37" ht="19.5" customHeight="1" x14ac:dyDescent="0.25">
      <c r="A58" s="494"/>
      <c r="B58" s="605" t="s">
        <v>565</v>
      </c>
      <c r="C58" s="605"/>
      <c r="D58" s="605"/>
      <c r="E58" s="511"/>
      <c r="F58" s="498"/>
      <c r="G58" s="506"/>
      <c r="H58" s="500">
        <f t="shared" si="18"/>
        <v>0</v>
      </c>
      <c r="I58" s="106"/>
      <c r="J58" s="497"/>
      <c r="K58" s="224">
        <f t="shared" si="19"/>
        <v>0</v>
      </c>
      <c r="L58" s="511"/>
      <c r="M58" s="498"/>
      <c r="N58" s="506"/>
      <c r="O58" s="512"/>
      <c r="P58" s="512"/>
      <c r="Q58" s="497"/>
      <c r="R58" s="512"/>
      <c r="S58" s="224">
        <f t="shared" si="26"/>
        <v>0</v>
      </c>
      <c r="T58" s="224">
        <f t="shared" si="32"/>
        <v>0</v>
      </c>
      <c r="U58" s="224">
        <f t="shared" si="32"/>
        <v>0</v>
      </c>
      <c r="V58" s="224">
        <f t="shared" si="32"/>
        <v>0</v>
      </c>
      <c r="W58" s="224">
        <f t="shared" si="29"/>
        <v>0</v>
      </c>
      <c r="X58" s="511"/>
      <c r="Y58" s="498"/>
      <c r="Z58" s="506"/>
      <c r="AA58" s="500">
        <f t="shared" si="21"/>
        <v>0</v>
      </c>
      <c r="AB58" s="106"/>
      <c r="AC58" s="497"/>
      <c r="AD58" s="224">
        <f t="shared" si="27"/>
        <v>0</v>
      </c>
      <c r="AE58" s="511"/>
      <c r="AF58" s="498"/>
      <c r="AG58" s="506"/>
      <c r="AH58" s="500">
        <f t="shared" si="24"/>
        <v>0</v>
      </c>
      <c r="AI58" s="106"/>
      <c r="AJ58" s="497"/>
      <c r="AK58" s="224">
        <f t="shared" si="28"/>
        <v>0</v>
      </c>
    </row>
    <row r="59" spans="1:37" ht="23.25" customHeight="1" x14ac:dyDescent="0.25">
      <c r="A59" s="494">
        <v>31</v>
      </c>
      <c r="B59" s="498" t="s">
        <v>566</v>
      </c>
      <c r="C59" s="498" t="s">
        <v>525</v>
      </c>
      <c r="D59" s="501" t="s">
        <v>567</v>
      </c>
      <c r="E59" s="511">
        <v>1</v>
      </c>
      <c r="F59" s="501" t="s">
        <v>569</v>
      </c>
      <c r="G59" s="506">
        <v>6.49</v>
      </c>
      <c r="H59" s="500">
        <f t="shared" si="18"/>
        <v>429248.60000000003</v>
      </c>
      <c r="I59" s="106"/>
      <c r="J59" s="523"/>
      <c r="K59" s="224">
        <f t="shared" si="19"/>
        <v>429248.60000000003</v>
      </c>
      <c r="L59" s="511">
        <v>1</v>
      </c>
      <c r="M59" s="501" t="s">
        <v>568</v>
      </c>
      <c r="N59" s="506">
        <v>6.49</v>
      </c>
      <c r="O59" s="512">
        <f>N59*66140</f>
        <v>429248.60000000003</v>
      </c>
      <c r="P59" s="512"/>
      <c r="Q59" s="523"/>
      <c r="R59" s="512">
        <f>O59+P59+Q59</f>
        <v>429248.60000000003</v>
      </c>
      <c r="S59" s="224">
        <f t="shared" si="26"/>
        <v>0</v>
      </c>
      <c r="T59" s="224">
        <f t="shared" si="32"/>
        <v>0</v>
      </c>
      <c r="U59" s="224">
        <f t="shared" si="32"/>
        <v>0</v>
      </c>
      <c r="V59" s="224">
        <f t="shared" si="32"/>
        <v>0</v>
      </c>
      <c r="W59" s="224">
        <f t="shared" si="29"/>
        <v>0</v>
      </c>
      <c r="X59" s="511">
        <v>1</v>
      </c>
      <c r="Y59" s="501" t="s">
        <v>570</v>
      </c>
      <c r="Z59" s="506">
        <v>6.49</v>
      </c>
      <c r="AA59" s="500">
        <f t="shared" si="21"/>
        <v>429248.60000000003</v>
      </c>
      <c r="AB59" s="106"/>
      <c r="AC59" s="523"/>
      <c r="AD59" s="224">
        <f t="shared" si="27"/>
        <v>429248.60000000003</v>
      </c>
      <c r="AE59" s="511">
        <v>1</v>
      </c>
      <c r="AF59" s="501" t="s">
        <v>1012</v>
      </c>
      <c r="AG59" s="506">
        <v>6.49</v>
      </c>
      <c r="AH59" s="500">
        <f t="shared" si="24"/>
        <v>429248.60000000003</v>
      </c>
      <c r="AI59" s="106"/>
      <c r="AJ59" s="523"/>
      <c r="AK59" s="224">
        <f t="shared" si="28"/>
        <v>429248.60000000003</v>
      </c>
    </row>
    <row r="60" spans="1:37" ht="33.75" customHeight="1" x14ac:dyDescent="0.25">
      <c r="A60" s="494">
        <v>32</v>
      </c>
      <c r="B60" s="498" t="s">
        <v>571</v>
      </c>
      <c r="C60" s="498" t="s">
        <v>530</v>
      </c>
      <c r="D60" s="501" t="s">
        <v>572</v>
      </c>
      <c r="E60" s="511">
        <v>1</v>
      </c>
      <c r="F60" s="501" t="s">
        <v>517</v>
      </c>
      <c r="G60" s="506">
        <v>5.17</v>
      </c>
      <c r="H60" s="500">
        <f t="shared" si="18"/>
        <v>341943.8</v>
      </c>
      <c r="I60" s="106"/>
      <c r="J60" s="523">
        <f>H60*0.05</f>
        <v>17097.189999999999</v>
      </c>
      <c r="K60" s="224">
        <f t="shared" si="19"/>
        <v>359040.99</v>
      </c>
      <c r="L60" s="511">
        <v>1</v>
      </c>
      <c r="M60" s="501" t="s">
        <v>516</v>
      </c>
      <c r="N60" s="506">
        <v>5.01</v>
      </c>
      <c r="O60" s="512">
        <f>N60*66140</f>
        <v>331361.39999999997</v>
      </c>
      <c r="P60" s="512"/>
      <c r="Q60" s="523">
        <f>O60*0.05</f>
        <v>16568.07</v>
      </c>
      <c r="R60" s="512">
        <f>O60+P60+Q60</f>
        <v>347929.47</v>
      </c>
      <c r="S60" s="224">
        <f t="shared" si="26"/>
        <v>0</v>
      </c>
      <c r="T60" s="224">
        <f t="shared" si="32"/>
        <v>10582.400000000023</v>
      </c>
      <c r="U60" s="224">
        <f t="shared" si="32"/>
        <v>0</v>
      </c>
      <c r="V60" s="224">
        <f t="shared" si="32"/>
        <v>529.11999999999898</v>
      </c>
      <c r="W60" s="224">
        <f t="shared" si="29"/>
        <v>11111.520000000022</v>
      </c>
      <c r="X60" s="511">
        <v>1</v>
      </c>
      <c r="Y60" s="501" t="s">
        <v>518</v>
      </c>
      <c r="Z60" s="506">
        <v>5.17</v>
      </c>
      <c r="AA60" s="500">
        <f t="shared" si="21"/>
        <v>341943.8</v>
      </c>
      <c r="AB60" s="106"/>
      <c r="AC60" s="523">
        <f>AA60*0.05</f>
        <v>17097.189999999999</v>
      </c>
      <c r="AD60" s="224">
        <f t="shared" si="27"/>
        <v>359040.99</v>
      </c>
      <c r="AE60" s="511">
        <v>1</v>
      </c>
      <c r="AF60" s="501" t="s">
        <v>1004</v>
      </c>
      <c r="AG60" s="506">
        <v>5.34</v>
      </c>
      <c r="AH60" s="500">
        <f t="shared" si="24"/>
        <v>353187.6</v>
      </c>
      <c r="AI60" s="106"/>
      <c r="AJ60" s="523">
        <f>AH60*0.05</f>
        <v>17659.38</v>
      </c>
      <c r="AK60" s="224">
        <f t="shared" si="28"/>
        <v>370846.98</v>
      </c>
    </row>
    <row r="61" spans="1:37" ht="25.5" x14ac:dyDescent="0.25">
      <c r="A61" s="494">
        <v>33</v>
      </c>
      <c r="B61" s="498" t="s">
        <v>573</v>
      </c>
      <c r="C61" s="498" t="s">
        <v>491</v>
      </c>
      <c r="D61" s="501" t="s">
        <v>574</v>
      </c>
      <c r="E61" s="511">
        <v>1</v>
      </c>
      <c r="F61" s="501" t="s">
        <v>575</v>
      </c>
      <c r="G61" s="506">
        <v>3.01</v>
      </c>
      <c r="H61" s="500">
        <f t="shared" si="18"/>
        <v>199081.4</v>
      </c>
      <c r="I61" s="106"/>
      <c r="J61" s="523">
        <f>H61*0.05</f>
        <v>9954.07</v>
      </c>
      <c r="K61" s="224">
        <f t="shared" si="19"/>
        <v>209035.47</v>
      </c>
      <c r="L61" s="511">
        <v>1</v>
      </c>
      <c r="M61" s="501" t="s">
        <v>515</v>
      </c>
      <c r="N61" s="506">
        <v>3.01</v>
      </c>
      <c r="O61" s="512">
        <f>N61*66140</f>
        <v>199081.4</v>
      </c>
      <c r="P61" s="512"/>
      <c r="Q61" s="523">
        <f>O61*0.05</f>
        <v>9954.07</v>
      </c>
      <c r="R61" s="512">
        <f>O61+P61+Q61</f>
        <v>209035.47</v>
      </c>
      <c r="S61" s="224">
        <f t="shared" si="26"/>
        <v>0</v>
      </c>
      <c r="T61" s="224">
        <f t="shared" si="32"/>
        <v>0</v>
      </c>
      <c r="U61" s="224">
        <f t="shared" si="32"/>
        <v>0</v>
      </c>
      <c r="V61" s="224">
        <f t="shared" si="32"/>
        <v>0</v>
      </c>
      <c r="W61" s="224">
        <f t="shared" si="29"/>
        <v>0</v>
      </c>
      <c r="X61" s="511">
        <v>1</v>
      </c>
      <c r="Y61" s="501" t="s">
        <v>576</v>
      </c>
      <c r="Z61" s="506">
        <v>3.01</v>
      </c>
      <c r="AA61" s="500">
        <f t="shared" si="21"/>
        <v>199081.4</v>
      </c>
      <c r="AB61" s="106"/>
      <c r="AC61" s="523">
        <f>AA61*0.05</f>
        <v>9954.07</v>
      </c>
      <c r="AD61" s="224">
        <f t="shared" si="27"/>
        <v>209035.47</v>
      </c>
      <c r="AE61" s="511">
        <v>1</v>
      </c>
      <c r="AF61" s="501" t="s">
        <v>1013</v>
      </c>
      <c r="AG61" s="506">
        <v>3.11</v>
      </c>
      <c r="AH61" s="500">
        <f t="shared" si="24"/>
        <v>205695.4</v>
      </c>
      <c r="AI61" s="106"/>
      <c r="AJ61" s="523">
        <f>AH61*0.05</f>
        <v>10284.77</v>
      </c>
      <c r="AK61" s="224">
        <f t="shared" si="28"/>
        <v>215980.16999999998</v>
      </c>
    </row>
    <row r="62" spans="1:37" x14ac:dyDescent="0.25">
      <c r="A62" s="494"/>
      <c r="B62" s="603" t="s">
        <v>577</v>
      </c>
      <c r="C62" s="603"/>
      <c r="D62" s="603"/>
      <c r="E62" s="511"/>
      <c r="F62" s="498"/>
      <c r="G62" s="506"/>
      <c r="H62" s="500">
        <f t="shared" si="18"/>
        <v>0</v>
      </c>
      <c r="I62" s="106"/>
      <c r="J62" s="523"/>
      <c r="K62" s="224">
        <f t="shared" si="19"/>
        <v>0</v>
      </c>
      <c r="L62" s="511"/>
      <c r="M62" s="498"/>
      <c r="N62" s="506"/>
      <c r="O62" s="512"/>
      <c r="P62" s="512"/>
      <c r="Q62" s="523"/>
      <c r="R62" s="512"/>
      <c r="S62" s="224">
        <f t="shared" si="26"/>
        <v>0</v>
      </c>
      <c r="T62" s="224">
        <f t="shared" si="32"/>
        <v>0</v>
      </c>
      <c r="U62" s="224">
        <f t="shared" si="32"/>
        <v>0</v>
      </c>
      <c r="V62" s="224">
        <f t="shared" si="32"/>
        <v>0</v>
      </c>
      <c r="W62" s="224">
        <f t="shared" si="29"/>
        <v>0</v>
      </c>
      <c r="X62" s="511"/>
      <c r="Y62" s="498"/>
      <c r="Z62" s="506"/>
      <c r="AA62" s="500">
        <f t="shared" si="21"/>
        <v>0</v>
      </c>
      <c r="AB62" s="106"/>
      <c r="AC62" s="523"/>
      <c r="AD62" s="224">
        <f t="shared" si="27"/>
        <v>0</v>
      </c>
      <c r="AE62" s="511"/>
      <c r="AF62" s="498"/>
      <c r="AG62" s="506"/>
      <c r="AH62" s="500">
        <f t="shared" si="24"/>
        <v>0</v>
      </c>
      <c r="AI62" s="106"/>
      <c r="AJ62" s="523"/>
      <c r="AK62" s="224">
        <f t="shared" si="28"/>
        <v>0</v>
      </c>
    </row>
    <row r="63" spans="1:37" ht="25.5" x14ac:dyDescent="0.25">
      <c r="A63" s="494">
        <v>34</v>
      </c>
      <c r="B63" s="498" t="s">
        <v>578</v>
      </c>
      <c r="C63" s="498" t="s">
        <v>481</v>
      </c>
      <c r="D63" s="501" t="s">
        <v>579</v>
      </c>
      <c r="E63" s="511">
        <v>1</v>
      </c>
      <c r="F63" s="501" t="s">
        <v>488</v>
      </c>
      <c r="G63" s="506">
        <v>4.8499999999999996</v>
      </c>
      <c r="H63" s="500">
        <f t="shared" si="18"/>
        <v>320779</v>
      </c>
      <c r="I63" s="106"/>
      <c r="J63" s="523">
        <f>H63*0.05</f>
        <v>16038.95</v>
      </c>
      <c r="K63" s="224">
        <f t="shared" si="19"/>
        <v>336817.95</v>
      </c>
      <c r="L63" s="511">
        <v>1</v>
      </c>
      <c r="M63" s="501" t="s">
        <v>487</v>
      </c>
      <c r="N63" s="506">
        <v>4.7</v>
      </c>
      <c r="O63" s="512">
        <f>N63*66140</f>
        <v>310858</v>
      </c>
      <c r="P63" s="512"/>
      <c r="Q63" s="523">
        <f>O63*0.05</f>
        <v>15542.900000000001</v>
      </c>
      <c r="R63" s="512">
        <f>O63+P63+Q63</f>
        <v>326400.90000000002</v>
      </c>
      <c r="S63" s="224">
        <f t="shared" si="26"/>
        <v>0</v>
      </c>
      <c r="T63" s="224">
        <f t="shared" si="32"/>
        <v>9921</v>
      </c>
      <c r="U63" s="224">
        <f t="shared" si="32"/>
        <v>0</v>
      </c>
      <c r="V63" s="224">
        <f t="shared" si="32"/>
        <v>496.04999999999927</v>
      </c>
      <c r="W63" s="224">
        <f t="shared" si="29"/>
        <v>10417.049999999999</v>
      </c>
      <c r="X63" s="511">
        <v>1</v>
      </c>
      <c r="Y63" s="501" t="s">
        <v>489</v>
      </c>
      <c r="Z63" s="506">
        <v>4.8499999999999996</v>
      </c>
      <c r="AA63" s="500">
        <f t="shared" si="21"/>
        <v>320779</v>
      </c>
      <c r="AB63" s="106"/>
      <c r="AC63" s="523">
        <f>AA63*0.05</f>
        <v>16038.95</v>
      </c>
      <c r="AD63" s="224">
        <f t="shared" si="27"/>
        <v>336817.95</v>
      </c>
      <c r="AE63" s="511">
        <v>1</v>
      </c>
      <c r="AF63" s="501" t="s">
        <v>999</v>
      </c>
      <c r="AG63" s="506">
        <v>4.8499999999999996</v>
      </c>
      <c r="AH63" s="500">
        <f t="shared" si="24"/>
        <v>320779</v>
      </c>
      <c r="AI63" s="106"/>
      <c r="AJ63" s="523">
        <f>AH63*0.05</f>
        <v>16038.95</v>
      </c>
      <c r="AK63" s="224">
        <f t="shared" si="28"/>
        <v>336817.95</v>
      </c>
    </row>
    <row r="64" spans="1:37" ht="25.5" x14ac:dyDescent="0.25">
      <c r="A64" s="494">
        <v>34</v>
      </c>
      <c r="B64" s="498" t="s">
        <v>580</v>
      </c>
      <c r="C64" s="498" t="s">
        <v>536</v>
      </c>
      <c r="D64" s="501" t="s">
        <v>581</v>
      </c>
      <c r="E64" s="511">
        <v>1</v>
      </c>
      <c r="F64" s="501" t="s">
        <v>583</v>
      </c>
      <c r="G64" s="506">
        <v>4.4000000000000004</v>
      </c>
      <c r="H64" s="500">
        <f t="shared" si="18"/>
        <v>291016</v>
      </c>
      <c r="I64" s="106"/>
      <c r="J64" s="523">
        <f>H64*0.05</f>
        <v>14550.800000000001</v>
      </c>
      <c r="K64" s="224">
        <f t="shared" si="19"/>
        <v>305566.8</v>
      </c>
      <c r="L64" s="511">
        <v>1</v>
      </c>
      <c r="M64" s="501" t="s">
        <v>582</v>
      </c>
      <c r="N64" s="506">
        <v>4.2699999999999996</v>
      </c>
      <c r="O64" s="512">
        <f>N64*66140</f>
        <v>282417.8</v>
      </c>
      <c r="P64" s="512"/>
      <c r="Q64" s="523">
        <f>O64*0.05</f>
        <v>14120.89</v>
      </c>
      <c r="R64" s="512">
        <f>O64+P64+Q64</f>
        <v>296538.69</v>
      </c>
      <c r="S64" s="224">
        <f t="shared" si="26"/>
        <v>0</v>
      </c>
      <c r="T64" s="224">
        <f t="shared" si="32"/>
        <v>8598.2000000000116</v>
      </c>
      <c r="U64" s="224">
        <f t="shared" si="32"/>
        <v>0</v>
      </c>
      <c r="V64" s="224">
        <f t="shared" si="32"/>
        <v>429.91000000000167</v>
      </c>
      <c r="W64" s="224">
        <f t="shared" si="29"/>
        <v>9028.1100000000133</v>
      </c>
      <c r="X64" s="511">
        <v>1</v>
      </c>
      <c r="Y64" s="501" t="s">
        <v>584</v>
      </c>
      <c r="Z64" s="506">
        <v>4.4000000000000004</v>
      </c>
      <c r="AA64" s="500">
        <f t="shared" si="21"/>
        <v>291016</v>
      </c>
      <c r="AB64" s="106"/>
      <c r="AC64" s="523">
        <f>AA64*0.05</f>
        <v>14550.800000000001</v>
      </c>
      <c r="AD64" s="224">
        <f t="shared" si="27"/>
        <v>305566.8</v>
      </c>
      <c r="AE64" s="511">
        <v>1</v>
      </c>
      <c r="AF64" s="501" t="s">
        <v>1014</v>
      </c>
      <c r="AG64" s="506">
        <v>4.4000000000000004</v>
      </c>
      <c r="AH64" s="500">
        <f t="shared" si="24"/>
        <v>291016</v>
      </c>
      <c r="AI64" s="106"/>
      <c r="AJ64" s="523">
        <f>AH64*0.05</f>
        <v>14550.800000000001</v>
      </c>
      <c r="AK64" s="224">
        <f t="shared" si="28"/>
        <v>305566.8</v>
      </c>
    </row>
    <row r="65" spans="1:37" ht="25.5" x14ac:dyDescent="0.25">
      <c r="A65" s="494">
        <v>36</v>
      </c>
      <c r="B65" s="498" t="s">
        <v>585</v>
      </c>
      <c r="C65" s="501" t="s">
        <v>497</v>
      </c>
      <c r="D65" s="501" t="s">
        <v>586</v>
      </c>
      <c r="E65" s="511">
        <v>1</v>
      </c>
      <c r="F65" s="501" t="s">
        <v>517</v>
      </c>
      <c r="G65" s="506">
        <v>2.21</v>
      </c>
      <c r="H65" s="500">
        <f t="shared" si="18"/>
        <v>146169.4</v>
      </c>
      <c r="I65" s="106"/>
      <c r="J65" s="523">
        <f>H65*0.05</f>
        <v>7308.47</v>
      </c>
      <c r="K65" s="224">
        <f t="shared" si="19"/>
        <v>153477.87</v>
      </c>
      <c r="L65" s="511">
        <v>1</v>
      </c>
      <c r="M65" s="501" t="s">
        <v>515</v>
      </c>
      <c r="N65" s="506">
        <v>2.21</v>
      </c>
      <c r="O65" s="512">
        <f>N65*66140</f>
        <v>146169.4</v>
      </c>
      <c r="P65" s="512"/>
      <c r="Q65" s="523">
        <f>O65*0.05</f>
        <v>7308.47</v>
      </c>
      <c r="R65" s="512">
        <f>O65+P65+Q65</f>
        <v>153477.87</v>
      </c>
      <c r="S65" s="224">
        <f t="shared" si="26"/>
        <v>0</v>
      </c>
      <c r="T65" s="224">
        <f t="shared" si="32"/>
        <v>0</v>
      </c>
      <c r="U65" s="224">
        <f t="shared" si="32"/>
        <v>0</v>
      </c>
      <c r="V65" s="224">
        <f t="shared" si="32"/>
        <v>0</v>
      </c>
      <c r="W65" s="224">
        <f t="shared" si="29"/>
        <v>0</v>
      </c>
      <c r="X65" s="511">
        <v>1</v>
      </c>
      <c r="Y65" s="501" t="s">
        <v>518</v>
      </c>
      <c r="Z65" s="506">
        <v>2.21</v>
      </c>
      <c r="AA65" s="500">
        <f t="shared" si="21"/>
        <v>146169.4</v>
      </c>
      <c r="AB65" s="106"/>
      <c r="AC65" s="523">
        <f>AA65*0.05</f>
        <v>7308.47</v>
      </c>
      <c r="AD65" s="224">
        <f t="shared" si="27"/>
        <v>153477.87</v>
      </c>
      <c r="AE65" s="511">
        <v>1</v>
      </c>
      <c r="AF65" s="501" t="s">
        <v>1004</v>
      </c>
      <c r="AG65" s="506">
        <v>2.2799999999999998</v>
      </c>
      <c r="AH65" s="500">
        <f t="shared" si="24"/>
        <v>150799.19999999998</v>
      </c>
      <c r="AI65" s="106"/>
      <c r="AJ65" s="523">
        <f>AH65*0.05</f>
        <v>7539.9599999999991</v>
      </c>
      <c r="AK65" s="224">
        <f t="shared" si="28"/>
        <v>158339.15999999997</v>
      </c>
    </row>
    <row r="66" spans="1:37" x14ac:dyDescent="0.25">
      <c r="A66" s="494"/>
      <c r="B66" s="518" t="s">
        <v>169</v>
      </c>
      <c r="C66" s="519" t="s">
        <v>1</v>
      </c>
      <c r="D66" s="519" t="s">
        <v>1</v>
      </c>
      <c r="E66" s="520">
        <f>SUM(E59:E65)</f>
        <v>6</v>
      </c>
      <c r="F66" s="519" t="s">
        <v>1</v>
      </c>
      <c r="G66" s="519" t="s">
        <v>1</v>
      </c>
      <c r="H66" s="520">
        <f>H59+H60+H61+H63+H64+H65</f>
        <v>1728238.2</v>
      </c>
      <c r="I66" s="520">
        <f>I59+I60+I61+I63+I64+I65</f>
        <v>0</v>
      </c>
      <c r="J66" s="520">
        <f>J59+J60+J61+J63+J64+J65</f>
        <v>64949.48</v>
      </c>
      <c r="K66" s="520">
        <f>K59+K60+K61+K63+K64+K65</f>
        <v>1793187.6800000002</v>
      </c>
      <c r="L66" s="520">
        <f>SUM(L59:L65)</f>
        <v>6</v>
      </c>
      <c r="M66" s="519" t="s">
        <v>1</v>
      </c>
      <c r="N66" s="519" t="s">
        <v>1</v>
      </c>
      <c r="O66" s="520">
        <f>SUM(O59:O65)</f>
        <v>1699136.5999999999</v>
      </c>
      <c r="P66" s="520">
        <f>SUM(P59:P65)</f>
        <v>0</v>
      </c>
      <c r="Q66" s="520">
        <f>SUM(Q59:Q65)</f>
        <v>63494.400000000001</v>
      </c>
      <c r="R66" s="520">
        <f>R59+R60+R61+R63+R64+R65</f>
        <v>1762631</v>
      </c>
      <c r="S66" s="224">
        <f t="shared" si="26"/>
        <v>0</v>
      </c>
      <c r="T66" s="224">
        <f t="shared" si="32"/>
        <v>29101.600000000093</v>
      </c>
      <c r="U66" s="224">
        <f t="shared" si="32"/>
        <v>0</v>
      </c>
      <c r="V66" s="224">
        <f t="shared" si="32"/>
        <v>1455.0800000000017</v>
      </c>
      <c r="W66" s="224">
        <f t="shared" si="29"/>
        <v>30556.680000000095</v>
      </c>
      <c r="X66" s="520">
        <f>SUM(X59:X65)</f>
        <v>6</v>
      </c>
      <c r="Y66" s="519" t="s">
        <v>1</v>
      </c>
      <c r="Z66" s="519" t="s">
        <v>1</v>
      </c>
      <c r="AA66" s="520">
        <f>SUM(AA59:AA65)</f>
        <v>1728238.2</v>
      </c>
      <c r="AB66" s="520">
        <f>SUM(AB59:AB65)</f>
        <v>0</v>
      </c>
      <c r="AC66" s="520">
        <f>SUM(AC59:AC65)</f>
        <v>64949.48</v>
      </c>
      <c r="AD66" s="520">
        <f>SUM(AD59:AD65)</f>
        <v>1793187.6800000002</v>
      </c>
      <c r="AE66" s="520">
        <f>SUM(AE59:AE65)</f>
        <v>6</v>
      </c>
      <c r="AF66" s="519" t="s">
        <v>1</v>
      </c>
      <c r="AG66" s="519" t="s">
        <v>1</v>
      </c>
      <c r="AH66" s="520">
        <f>SUM(AH59:AH65)</f>
        <v>1750725.8</v>
      </c>
      <c r="AI66" s="520">
        <f>SUM(AI59:AI65)</f>
        <v>0</v>
      </c>
      <c r="AJ66" s="520">
        <f>SUM(AJ59:AJ65)</f>
        <v>66073.860000000015</v>
      </c>
      <c r="AK66" s="520">
        <f>SUM(AK59:AK65)</f>
        <v>1816799.66</v>
      </c>
    </row>
    <row r="67" spans="1:37" x14ac:dyDescent="0.25">
      <c r="A67" s="494"/>
      <c r="B67" s="605" t="s">
        <v>587</v>
      </c>
      <c r="C67" s="605"/>
      <c r="D67" s="605"/>
      <c r="E67" s="511"/>
      <c r="F67" s="498"/>
      <c r="G67" s="506"/>
      <c r="H67" s="500">
        <f t="shared" si="18"/>
        <v>0</v>
      </c>
      <c r="I67" s="106"/>
      <c r="J67" s="523"/>
      <c r="K67" s="224">
        <f t="shared" si="19"/>
        <v>0</v>
      </c>
      <c r="L67" s="511"/>
      <c r="M67" s="498"/>
      <c r="N67" s="506"/>
      <c r="O67" s="512"/>
      <c r="P67" s="512"/>
      <c r="Q67" s="523"/>
      <c r="R67" s="512"/>
      <c r="S67" s="224">
        <f t="shared" si="26"/>
        <v>0</v>
      </c>
      <c r="T67" s="224">
        <f t="shared" si="32"/>
        <v>0</v>
      </c>
      <c r="U67" s="224">
        <f t="shared" si="32"/>
        <v>0</v>
      </c>
      <c r="V67" s="224">
        <f t="shared" si="32"/>
        <v>0</v>
      </c>
      <c r="W67" s="224">
        <f t="shared" si="29"/>
        <v>0</v>
      </c>
      <c r="X67" s="511"/>
      <c r="Y67" s="498"/>
      <c r="Z67" s="506"/>
      <c r="AA67" s="500">
        <f t="shared" si="21"/>
        <v>0</v>
      </c>
      <c r="AB67" s="106"/>
      <c r="AC67" s="523"/>
      <c r="AD67" s="224">
        <f t="shared" si="27"/>
        <v>0</v>
      </c>
      <c r="AE67" s="511"/>
      <c r="AF67" s="498"/>
      <c r="AG67" s="506"/>
      <c r="AH67" s="500">
        <f t="shared" si="24"/>
        <v>0</v>
      </c>
      <c r="AI67" s="106"/>
      <c r="AJ67" s="523"/>
      <c r="AK67" s="224">
        <f t="shared" si="28"/>
        <v>0</v>
      </c>
    </row>
    <row r="68" spans="1:37" x14ac:dyDescent="0.25">
      <c r="A68" s="494">
        <v>37</v>
      </c>
      <c r="B68" s="510" t="s">
        <v>556</v>
      </c>
      <c r="C68" s="498" t="s">
        <v>525</v>
      </c>
      <c r="D68" s="501" t="s">
        <v>588</v>
      </c>
      <c r="E68" s="511">
        <v>1</v>
      </c>
      <c r="F68" s="501"/>
      <c r="G68" s="506">
        <v>5.52</v>
      </c>
      <c r="H68" s="500">
        <f t="shared" si="18"/>
        <v>365092.8</v>
      </c>
      <c r="I68" s="106"/>
      <c r="J68" s="523"/>
      <c r="K68" s="224">
        <f t="shared" si="19"/>
        <v>365092.8</v>
      </c>
      <c r="L68" s="511">
        <v>1</v>
      </c>
      <c r="M68" s="501"/>
      <c r="N68" s="506">
        <v>5.52</v>
      </c>
      <c r="O68" s="512">
        <f>N68*66140</f>
        <v>365092.8</v>
      </c>
      <c r="P68" s="512"/>
      <c r="Q68" s="523"/>
      <c r="R68" s="512">
        <f>O68+P68+Q68</f>
        <v>365092.8</v>
      </c>
      <c r="S68" s="224">
        <f t="shared" si="26"/>
        <v>0</v>
      </c>
      <c r="T68" s="224">
        <f t="shared" si="32"/>
        <v>0</v>
      </c>
      <c r="U68" s="224">
        <f t="shared" si="32"/>
        <v>0</v>
      </c>
      <c r="V68" s="224">
        <f t="shared" si="32"/>
        <v>0</v>
      </c>
      <c r="W68" s="224">
        <f t="shared" si="29"/>
        <v>0</v>
      </c>
      <c r="X68" s="511">
        <v>1</v>
      </c>
      <c r="Y68" s="501"/>
      <c r="Z68" s="506">
        <v>5.52</v>
      </c>
      <c r="AA68" s="500">
        <f t="shared" si="21"/>
        <v>365092.8</v>
      </c>
      <c r="AB68" s="106"/>
      <c r="AC68" s="523"/>
      <c r="AD68" s="224">
        <f t="shared" si="27"/>
        <v>365092.8</v>
      </c>
      <c r="AE68" s="511">
        <v>1</v>
      </c>
      <c r="AF68" s="501"/>
      <c r="AG68" s="506">
        <v>5.52</v>
      </c>
      <c r="AH68" s="500">
        <f t="shared" si="24"/>
        <v>365092.8</v>
      </c>
      <c r="AI68" s="106"/>
      <c r="AJ68" s="523"/>
      <c r="AK68" s="224">
        <f t="shared" si="28"/>
        <v>365092.8</v>
      </c>
    </row>
    <row r="69" spans="1:37" x14ac:dyDescent="0.25">
      <c r="A69" s="494"/>
      <c r="B69" s="603" t="s">
        <v>589</v>
      </c>
      <c r="C69" s="603"/>
      <c r="D69" s="603"/>
      <c r="E69" s="511"/>
      <c r="F69" s="498"/>
      <c r="G69" s="506"/>
      <c r="H69" s="500">
        <f t="shared" si="18"/>
        <v>0</v>
      </c>
      <c r="I69" s="106"/>
      <c r="J69" s="523"/>
      <c r="K69" s="224">
        <f t="shared" si="19"/>
        <v>0</v>
      </c>
      <c r="L69" s="511"/>
      <c r="M69" s="498"/>
      <c r="N69" s="506"/>
      <c r="O69" s="512"/>
      <c r="P69" s="512"/>
      <c r="Q69" s="523"/>
      <c r="R69" s="512"/>
      <c r="S69" s="224">
        <f t="shared" si="26"/>
        <v>0</v>
      </c>
      <c r="T69" s="224">
        <f t="shared" si="32"/>
        <v>0</v>
      </c>
      <c r="U69" s="224">
        <f t="shared" si="32"/>
        <v>0</v>
      </c>
      <c r="V69" s="224">
        <f t="shared" si="32"/>
        <v>0</v>
      </c>
      <c r="W69" s="224">
        <f t="shared" si="29"/>
        <v>0</v>
      </c>
      <c r="X69" s="511"/>
      <c r="Y69" s="498"/>
      <c r="Z69" s="506"/>
      <c r="AA69" s="500">
        <f t="shared" si="21"/>
        <v>0</v>
      </c>
      <c r="AB69" s="106"/>
      <c r="AC69" s="523"/>
      <c r="AD69" s="224">
        <f t="shared" si="27"/>
        <v>0</v>
      </c>
      <c r="AE69" s="511"/>
      <c r="AF69" s="498"/>
      <c r="AG69" s="506"/>
      <c r="AH69" s="500">
        <f t="shared" si="24"/>
        <v>0</v>
      </c>
      <c r="AI69" s="106"/>
      <c r="AJ69" s="523"/>
      <c r="AK69" s="224">
        <f t="shared" si="28"/>
        <v>0</v>
      </c>
    </row>
    <row r="70" spans="1:37" ht="25.5" x14ac:dyDescent="0.25">
      <c r="A70" s="494">
        <v>38</v>
      </c>
      <c r="B70" s="498" t="s">
        <v>590</v>
      </c>
      <c r="C70" s="498" t="s">
        <v>481</v>
      </c>
      <c r="D70" s="501" t="s">
        <v>591</v>
      </c>
      <c r="E70" s="511">
        <v>1</v>
      </c>
      <c r="F70" s="501" t="s">
        <v>488</v>
      </c>
      <c r="G70" s="506">
        <v>4.8499999999999996</v>
      </c>
      <c r="H70" s="500">
        <f t="shared" si="18"/>
        <v>320779</v>
      </c>
      <c r="I70" s="106"/>
      <c r="J70" s="523">
        <f>H70*0.05</f>
        <v>16038.95</v>
      </c>
      <c r="K70" s="224">
        <f t="shared" si="19"/>
        <v>336817.95</v>
      </c>
      <c r="L70" s="511">
        <v>1</v>
      </c>
      <c r="M70" s="501" t="s">
        <v>487</v>
      </c>
      <c r="N70" s="506">
        <v>4.7</v>
      </c>
      <c r="O70" s="512">
        <f>N70*66140</f>
        <v>310858</v>
      </c>
      <c r="P70" s="512"/>
      <c r="Q70" s="523">
        <f>O70*0.05</f>
        <v>15542.900000000001</v>
      </c>
      <c r="R70" s="512">
        <f>O70+P70+Q70</f>
        <v>326400.90000000002</v>
      </c>
      <c r="S70" s="224">
        <f t="shared" si="26"/>
        <v>0</v>
      </c>
      <c r="T70" s="224">
        <f t="shared" si="32"/>
        <v>9921</v>
      </c>
      <c r="U70" s="224">
        <f t="shared" si="32"/>
        <v>0</v>
      </c>
      <c r="V70" s="224">
        <f t="shared" si="32"/>
        <v>496.04999999999927</v>
      </c>
      <c r="W70" s="224">
        <f t="shared" si="29"/>
        <v>10417.049999999999</v>
      </c>
      <c r="X70" s="511">
        <v>1</v>
      </c>
      <c r="Y70" s="501" t="s">
        <v>489</v>
      </c>
      <c r="Z70" s="506">
        <v>4.8499999999999996</v>
      </c>
      <c r="AA70" s="500">
        <f t="shared" si="21"/>
        <v>320779</v>
      </c>
      <c r="AB70" s="106"/>
      <c r="AC70" s="523">
        <f>AA70*0.05</f>
        <v>16038.95</v>
      </c>
      <c r="AD70" s="224">
        <f t="shared" si="27"/>
        <v>336817.95</v>
      </c>
      <c r="AE70" s="511">
        <v>1</v>
      </c>
      <c r="AF70" s="501" t="s">
        <v>999</v>
      </c>
      <c r="AG70" s="506">
        <v>4.8499999999999996</v>
      </c>
      <c r="AH70" s="500">
        <f t="shared" si="24"/>
        <v>320779</v>
      </c>
      <c r="AI70" s="106"/>
      <c r="AJ70" s="523">
        <f>AH70*0.05</f>
        <v>16038.95</v>
      </c>
      <c r="AK70" s="224">
        <f t="shared" si="28"/>
        <v>336817.95</v>
      </c>
    </row>
    <row r="71" spans="1:37" ht="25.5" x14ac:dyDescent="0.25">
      <c r="A71" s="494">
        <v>39</v>
      </c>
      <c r="B71" s="498" t="s">
        <v>592</v>
      </c>
      <c r="C71" s="498" t="s">
        <v>536</v>
      </c>
      <c r="D71" s="501" t="s">
        <v>593</v>
      </c>
      <c r="E71" s="511">
        <v>1</v>
      </c>
      <c r="F71" s="501" t="s">
        <v>595</v>
      </c>
      <c r="G71" s="506">
        <v>4.2699999999999996</v>
      </c>
      <c r="H71" s="500">
        <f t="shared" si="18"/>
        <v>282417.8</v>
      </c>
      <c r="I71" s="106"/>
      <c r="J71" s="523">
        <f>H71*0.05</f>
        <v>14120.89</v>
      </c>
      <c r="K71" s="224">
        <f t="shared" si="19"/>
        <v>296538.69</v>
      </c>
      <c r="L71" s="511">
        <v>1</v>
      </c>
      <c r="M71" s="501" t="s">
        <v>594</v>
      </c>
      <c r="N71" s="506">
        <v>4.13</v>
      </c>
      <c r="O71" s="512">
        <f>N71*66140</f>
        <v>273158.2</v>
      </c>
      <c r="P71" s="512"/>
      <c r="Q71" s="523">
        <f>O71*0.05</f>
        <v>13657.910000000002</v>
      </c>
      <c r="R71" s="512">
        <f>O71+P71+Q71</f>
        <v>286816.11</v>
      </c>
      <c r="S71" s="224">
        <f t="shared" si="26"/>
        <v>0</v>
      </c>
      <c r="T71" s="224">
        <f t="shared" ref="T71:V134" si="33">H71-O71</f>
        <v>9259.5999999999767</v>
      </c>
      <c r="U71" s="224">
        <f t="shared" si="33"/>
        <v>0</v>
      </c>
      <c r="V71" s="224">
        <f t="shared" si="33"/>
        <v>462.97999999999774</v>
      </c>
      <c r="W71" s="224">
        <f t="shared" si="29"/>
        <v>9722.5799999999745</v>
      </c>
      <c r="X71" s="511">
        <v>1</v>
      </c>
      <c r="Y71" s="501" t="s">
        <v>596</v>
      </c>
      <c r="Z71" s="506">
        <v>4.2699999999999996</v>
      </c>
      <c r="AA71" s="500">
        <f t="shared" si="21"/>
        <v>282417.8</v>
      </c>
      <c r="AB71" s="106"/>
      <c r="AC71" s="523">
        <f>AA71*0.05</f>
        <v>14120.89</v>
      </c>
      <c r="AD71" s="224">
        <f t="shared" si="27"/>
        <v>296538.69</v>
      </c>
      <c r="AE71" s="511">
        <v>1</v>
      </c>
      <c r="AF71" s="501" t="s">
        <v>1015</v>
      </c>
      <c r="AG71" s="506">
        <v>4.2699999999999996</v>
      </c>
      <c r="AH71" s="500">
        <f t="shared" si="24"/>
        <v>282417.8</v>
      </c>
      <c r="AI71" s="106"/>
      <c r="AJ71" s="523">
        <f>AH71*0.05</f>
        <v>14120.89</v>
      </c>
      <c r="AK71" s="224">
        <f t="shared" si="28"/>
        <v>296538.69</v>
      </c>
    </row>
    <row r="72" spans="1:37" ht="25.5" x14ac:dyDescent="0.25">
      <c r="A72" s="494">
        <v>40</v>
      </c>
      <c r="B72" s="498" t="s">
        <v>597</v>
      </c>
      <c r="C72" s="498" t="s">
        <v>491</v>
      </c>
      <c r="D72" s="501" t="s">
        <v>598</v>
      </c>
      <c r="E72" s="511">
        <v>1</v>
      </c>
      <c r="F72" s="501" t="s">
        <v>600</v>
      </c>
      <c r="G72" s="506">
        <v>3.21</v>
      </c>
      <c r="H72" s="500">
        <f t="shared" si="18"/>
        <v>212309.4</v>
      </c>
      <c r="I72" s="106"/>
      <c r="J72" s="523">
        <f>H72*0.05</f>
        <v>10615.470000000001</v>
      </c>
      <c r="K72" s="224">
        <f t="shared" si="19"/>
        <v>222924.87</v>
      </c>
      <c r="L72" s="511">
        <v>1</v>
      </c>
      <c r="M72" s="501" t="s">
        <v>599</v>
      </c>
      <c r="N72" s="506">
        <v>3.21</v>
      </c>
      <c r="O72" s="512">
        <f>N72*66140</f>
        <v>212309.4</v>
      </c>
      <c r="P72" s="512"/>
      <c r="Q72" s="523">
        <f>O72*0.05</f>
        <v>10615.470000000001</v>
      </c>
      <c r="R72" s="512">
        <f>O72+P72+Q72</f>
        <v>222924.87</v>
      </c>
      <c r="S72" s="224">
        <f t="shared" si="26"/>
        <v>0</v>
      </c>
      <c r="T72" s="224">
        <f t="shared" si="33"/>
        <v>0</v>
      </c>
      <c r="U72" s="224">
        <f t="shared" si="33"/>
        <v>0</v>
      </c>
      <c r="V72" s="224">
        <f t="shared" si="33"/>
        <v>0</v>
      </c>
      <c r="W72" s="224">
        <f t="shared" si="29"/>
        <v>0</v>
      </c>
      <c r="X72" s="511">
        <v>1</v>
      </c>
      <c r="Y72" s="501" t="s">
        <v>601</v>
      </c>
      <c r="Z72" s="506">
        <v>3.42</v>
      </c>
      <c r="AA72" s="500">
        <f t="shared" si="21"/>
        <v>226198.8</v>
      </c>
      <c r="AB72" s="106"/>
      <c r="AC72" s="523">
        <f>AA72*0.05</f>
        <v>11309.94</v>
      </c>
      <c r="AD72" s="224">
        <f t="shared" si="27"/>
        <v>237508.74</v>
      </c>
      <c r="AE72" s="511">
        <v>1</v>
      </c>
      <c r="AF72" s="501" t="s">
        <v>1016</v>
      </c>
      <c r="AG72" s="506">
        <v>3.42</v>
      </c>
      <c r="AH72" s="500">
        <f t="shared" si="24"/>
        <v>226198.8</v>
      </c>
      <c r="AI72" s="106"/>
      <c r="AJ72" s="523">
        <f>AH72*0.05</f>
        <v>11309.94</v>
      </c>
      <c r="AK72" s="224">
        <f t="shared" si="28"/>
        <v>237508.74</v>
      </c>
    </row>
    <row r="73" spans="1:37" x14ac:dyDescent="0.25">
      <c r="A73" s="494">
        <v>41</v>
      </c>
      <c r="B73" s="517" t="s">
        <v>955</v>
      </c>
      <c r="C73" s="517" t="s">
        <v>491</v>
      </c>
      <c r="D73" s="515" t="s">
        <v>602</v>
      </c>
      <c r="E73" s="511">
        <v>1</v>
      </c>
      <c r="F73" s="501"/>
      <c r="G73" s="506">
        <v>2.66</v>
      </c>
      <c r="H73" s="500">
        <f t="shared" si="18"/>
        <v>175932.40000000002</v>
      </c>
      <c r="I73" s="106"/>
      <c r="J73" s="523"/>
      <c r="K73" s="224">
        <f t="shared" si="19"/>
        <v>175932.40000000002</v>
      </c>
      <c r="L73" s="511">
        <v>1</v>
      </c>
      <c r="M73" s="515"/>
      <c r="N73" s="516">
        <v>2.66</v>
      </c>
      <c r="O73" s="512">
        <f>N73*66140</f>
        <v>175932.40000000002</v>
      </c>
      <c r="P73" s="512"/>
      <c r="Q73" s="522"/>
      <c r="R73" s="512">
        <f>O73+P73+Q73</f>
        <v>175932.40000000002</v>
      </c>
      <c r="S73" s="224">
        <f t="shared" si="26"/>
        <v>0</v>
      </c>
      <c r="T73" s="224">
        <f t="shared" si="33"/>
        <v>0</v>
      </c>
      <c r="U73" s="224">
        <f t="shared" si="33"/>
        <v>0</v>
      </c>
      <c r="V73" s="224">
        <f t="shared" si="33"/>
        <v>0</v>
      </c>
      <c r="W73" s="224">
        <f t="shared" si="29"/>
        <v>0</v>
      </c>
      <c r="X73" s="511">
        <v>1</v>
      </c>
      <c r="Y73" s="501"/>
      <c r="Z73" s="506">
        <v>2.66</v>
      </c>
      <c r="AA73" s="500">
        <f t="shared" si="21"/>
        <v>175932.40000000002</v>
      </c>
      <c r="AB73" s="106"/>
      <c r="AC73" s="523"/>
      <c r="AD73" s="224">
        <f t="shared" si="27"/>
        <v>175932.40000000002</v>
      </c>
      <c r="AE73" s="511">
        <v>1</v>
      </c>
      <c r="AF73" s="501"/>
      <c r="AG73" s="506">
        <v>2.66</v>
      </c>
      <c r="AH73" s="500">
        <f t="shared" si="24"/>
        <v>175932.40000000002</v>
      </c>
      <c r="AI73" s="106"/>
      <c r="AJ73" s="523"/>
      <c r="AK73" s="224">
        <f t="shared" si="28"/>
        <v>175932.40000000002</v>
      </c>
    </row>
    <row r="74" spans="1:37" ht="25.5" x14ac:dyDescent="0.25">
      <c r="A74" s="494">
        <v>42</v>
      </c>
      <c r="B74" s="517" t="s">
        <v>603</v>
      </c>
      <c r="C74" s="515" t="s">
        <v>497</v>
      </c>
      <c r="D74" s="515" t="s">
        <v>604</v>
      </c>
      <c r="E74" s="511">
        <v>1</v>
      </c>
      <c r="F74" s="501" t="s">
        <v>521</v>
      </c>
      <c r="G74" s="506">
        <v>1.96</v>
      </c>
      <c r="H74" s="500">
        <f t="shared" si="18"/>
        <v>129634.4</v>
      </c>
      <c r="I74" s="106"/>
      <c r="J74" s="523">
        <f>H74*0.05</f>
        <v>6481.72</v>
      </c>
      <c r="K74" s="224">
        <f t="shared" si="19"/>
        <v>136116.12</v>
      </c>
      <c r="L74" s="511">
        <v>1</v>
      </c>
      <c r="M74" s="515" t="s">
        <v>520</v>
      </c>
      <c r="N74" s="516">
        <v>1.9</v>
      </c>
      <c r="O74" s="512">
        <f>N74*66140</f>
        <v>125666</v>
      </c>
      <c r="P74" s="512"/>
      <c r="Q74" s="523">
        <f>O74*0.05</f>
        <v>6283.3</v>
      </c>
      <c r="R74" s="512">
        <f>O74+P74+Q74</f>
        <v>131949.29999999999</v>
      </c>
      <c r="S74" s="224">
        <f t="shared" si="26"/>
        <v>0</v>
      </c>
      <c r="T74" s="224">
        <f t="shared" si="33"/>
        <v>3968.3999999999942</v>
      </c>
      <c r="U74" s="224">
        <f t="shared" si="33"/>
        <v>0</v>
      </c>
      <c r="V74" s="224">
        <f t="shared" si="33"/>
        <v>198.42000000000007</v>
      </c>
      <c r="W74" s="224">
        <f t="shared" si="29"/>
        <v>4166.8199999999943</v>
      </c>
      <c r="X74" s="511">
        <v>1</v>
      </c>
      <c r="Y74" s="501" t="s">
        <v>522</v>
      </c>
      <c r="Z74" s="506">
        <v>1.96</v>
      </c>
      <c r="AA74" s="500">
        <f t="shared" si="21"/>
        <v>129634.4</v>
      </c>
      <c r="AB74" s="106"/>
      <c r="AC74" s="523">
        <f>AA74*0.05</f>
        <v>6481.72</v>
      </c>
      <c r="AD74" s="224">
        <f t="shared" si="27"/>
        <v>136116.12</v>
      </c>
      <c r="AE74" s="511">
        <v>1</v>
      </c>
      <c r="AF74" s="501" t="s">
        <v>1017</v>
      </c>
      <c r="AG74" s="506">
        <v>2.02</v>
      </c>
      <c r="AH74" s="500">
        <f t="shared" si="24"/>
        <v>133602.79999999999</v>
      </c>
      <c r="AI74" s="106"/>
      <c r="AJ74" s="523">
        <f>AH74*0.05</f>
        <v>6680.1399999999994</v>
      </c>
      <c r="AK74" s="224">
        <f t="shared" si="28"/>
        <v>140282.94</v>
      </c>
    </row>
    <row r="75" spans="1:37" x14ac:dyDescent="0.25">
      <c r="A75" s="494"/>
      <c r="B75" s="603" t="s">
        <v>605</v>
      </c>
      <c r="C75" s="603"/>
      <c r="D75" s="603"/>
      <c r="E75" s="511"/>
      <c r="F75" s="498"/>
      <c r="G75" s="506"/>
      <c r="H75" s="500">
        <f t="shared" si="18"/>
        <v>0</v>
      </c>
      <c r="I75" s="106"/>
      <c r="J75" s="523"/>
      <c r="K75" s="224">
        <f t="shared" si="19"/>
        <v>0</v>
      </c>
      <c r="L75" s="511"/>
      <c r="M75" s="498"/>
      <c r="N75" s="506"/>
      <c r="O75" s="512"/>
      <c r="P75" s="512"/>
      <c r="Q75" s="523">
        <f>O75*0.05</f>
        <v>0</v>
      </c>
      <c r="R75" s="512"/>
      <c r="S75" s="224">
        <f t="shared" si="26"/>
        <v>0</v>
      </c>
      <c r="T75" s="224">
        <f t="shared" si="33"/>
        <v>0</v>
      </c>
      <c r="U75" s="224">
        <f t="shared" si="33"/>
        <v>0</v>
      </c>
      <c r="V75" s="224">
        <f t="shared" si="33"/>
        <v>0</v>
      </c>
      <c r="W75" s="224">
        <f t="shared" si="29"/>
        <v>0</v>
      </c>
      <c r="X75" s="511"/>
      <c r="Y75" s="498"/>
      <c r="Z75" s="506"/>
      <c r="AA75" s="500">
        <f t="shared" si="21"/>
        <v>0</v>
      </c>
      <c r="AB75" s="106"/>
      <c r="AC75" s="523"/>
      <c r="AD75" s="224">
        <f t="shared" si="27"/>
        <v>0</v>
      </c>
      <c r="AE75" s="511"/>
      <c r="AF75" s="498"/>
      <c r="AG75" s="506"/>
      <c r="AH75" s="500">
        <f t="shared" si="24"/>
        <v>0</v>
      </c>
      <c r="AI75" s="106"/>
      <c r="AJ75" s="523"/>
      <c r="AK75" s="224">
        <f t="shared" si="28"/>
        <v>0</v>
      </c>
    </row>
    <row r="76" spans="1:37" ht="25.5" x14ac:dyDescent="0.25">
      <c r="A76" s="494">
        <v>43</v>
      </c>
      <c r="B76" s="498" t="s">
        <v>606</v>
      </c>
      <c r="C76" s="498" t="s">
        <v>481</v>
      </c>
      <c r="D76" s="501" t="s">
        <v>607</v>
      </c>
      <c r="E76" s="513">
        <v>1</v>
      </c>
      <c r="F76" s="515" t="s">
        <v>609</v>
      </c>
      <c r="G76" s="516">
        <v>5.01</v>
      </c>
      <c r="H76" s="500">
        <f t="shared" si="18"/>
        <v>331361.39999999997</v>
      </c>
      <c r="I76" s="106"/>
      <c r="J76" s="522">
        <f>H76*0.05</f>
        <v>16568.07</v>
      </c>
      <c r="K76" s="224">
        <f t="shared" si="19"/>
        <v>347929.47</v>
      </c>
      <c r="L76" s="513">
        <v>1</v>
      </c>
      <c r="M76" s="501" t="s">
        <v>608</v>
      </c>
      <c r="N76" s="506">
        <v>5.01</v>
      </c>
      <c r="O76" s="514">
        <f>N76*66140</f>
        <v>331361.39999999997</v>
      </c>
      <c r="P76" s="514"/>
      <c r="Q76" s="523">
        <f>O76*0.05</f>
        <v>16568.07</v>
      </c>
      <c r="R76" s="514">
        <f>O76+P76+Q76</f>
        <v>347929.47</v>
      </c>
      <c r="S76" s="224">
        <f t="shared" si="26"/>
        <v>0</v>
      </c>
      <c r="T76" s="224">
        <f t="shared" si="33"/>
        <v>0</v>
      </c>
      <c r="U76" s="224">
        <f t="shared" si="33"/>
        <v>0</v>
      </c>
      <c r="V76" s="224">
        <f t="shared" si="33"/>
        <v>0</v>
      </c>
      <c r="W76" s="224">
        <f t="shared" si="29"/>
        <v>0</v>
      </c>
      <c r="X76" s="513">
        <v>1</v>
      </c>
      <c r="Y76" s="515" t="s">
        <v>610</v>
      </c>
      <c r="Z76" s="516">
        <v>5.01</v>
      </c>
      <c r="AA76" s="500">
        <f t="shared" si="21"/>
        <v>331361.39999999997</v>
      </c>
      <c r="AB76" s="106"/>
      <c r="AC76" s="522">
        <f>AA76*0.05</f>
        <v>16568.07</v>
      </c>
      <c r="AD76" s="224">
        <f t="shared" si="27"/>
        <v>347929.47</v>
      </c>
      <c r="AE76" s="513">
        <v>1</v>
      </c>
      <c r="AF76" s="515" t="s">
        <v>1018</v>
      </c>
      <c r="AG76" s="516">
        <v>5.17</v>
      </c>
      <c r="AH76" s="500">
        <f t="shared" si="24"/>
        <v>341943.8</v>
      </c>
      <c r="AI76" s="106"/>
      <c r="AJ76" s="522">
        <f>AH76*0.05</f>
        <v>17097.189999999999</v>
      </c>
      <c r="AK76" s="224">
        <f t="shared" si="28"/>
        <v>359040.99</v>
      </c>
    </row>
    <row r="77" spans="1:37" ht="25.5" x14ac:dyDescent="0.25">
      <c r="A77" s="494">
        <v>44</v>
      </c>
      <c r="B77" s="498" t="s">
        <v>611</v>
      </c>
      <c r="C77" s="498" t="s">
        <v>536</v>
      </c>
      <c r="D77" s="501" t="s">
        <v>612</v>
      </c>
      <c r="E77" s="511">
        <v>1</v>
      </c>
      <c r="F77" s="501" t="s">
        <v>614</v>
      </c>
      <c r="G77" s="506">
        <v>4.2699999999999996</v>
      </c>
      <c r="H77" s="500">
        <f t="shared" si="18"/>
        <v>282417.8</v>
      </c>
      <c r="I77" s="106"/>
      <c r="J77" s="523">
        <f>H77*0.05</f>
        <v>14120.89</v>
      </c>
      <c r="K77" s="224">
        <f t="shared" si="19"/>
        <v>296538.69</v>
      </c>
      <c r="L77" s="511">
        <v>1</v>
      </c>
      <c r="M77" s="501" t="s">
        <v>613</v>
      </c>
      <c r="N77" s="506">
        <v>4.13</v>
      </c>
      <c r="O77" s="512">
        <f>N77*66140</f>
        <v>273158.2</v>
      </c>
      <c r="P77" s="512"/>
      <c r="Q77" s="523">
        <f>O77*0.05</f>
        <v>13657.910000000002</v>
      </c>
      <c r="R77" s="512">
        <f>O77+P77+Q77</f>
        <v>286816.11</v>
      </c>
      <c r="S77" s="224">
        <f t="shared" si="26"/>
        <v>0</v>
      </c>
      <c r="T77" s="224">
        <f t="shared" si="33"/>
        <v>9259.5999999999767</v>
      </c>
      <c r="U77" s="224">
        <f t="shared" si="33"/>
        <v>0</v>
      </c>
      <c r="V77" s="224">
        <f t="shared" si="33"/>
        <v>462.97999999999774</v>
      </c>
      <c r="W77" s="224">
        <f t="shared" si="29"/>
        <v>9722.5799999999745</v>
      </c>
      <c r="X77" s="511">
        <v>1</v>
      </c>
      <c r="Y77" s="501" t="s">
        <v>615</v>
      </c>
      <c r="Z77" s="506">
        <v>4.2699999999999996</v>
      </c>
      <c r="AA77" s="500">
        <f t="shared" si="21"/>
        <v>282417.8</v>
      </c>
      <c r="AB77" s="106"/>
      <c r="AC77" s="523">
        <f>AA77*0.05</f>
        <v>14120.89</v>
      </c>
      <c r="AD77" s="224">
        <f t="shared" si="27"/>
        <v>296538.69</v>
      </c>
      <c r="AE77" s="511">
        <v>1</v>
      </c>
      <c r="AF77" s="501" t="s">
        <v>1019</v>
      </c>
      <c r="AG77" s="506">
        <v>4.2699999999999996</v>
      </c>
      <c r="AH77" s="500">
        <f t="shared" si="24"/>
        <v>282417.8</v>
      </c>
      <c r="AI77" s="106"/>
      <c r="AJ77" s="523">
        <f>AH77*0.05</f>
        <v>14120.89</v>
      </c>
      <c r="AK77" s="224">
        <f t="shared" si="28"/>
        <v>296538.69</v>
      </c>
    </row>
    <row r="78" spans="1:37" ht="25.5" x14ac:dyDescent="0.25">
      <c r="A78" s="494">
        <v>45</v>
      </c>
      <c r="B78" s="498" t="s">
        <v>962</v>
      </c>
      <c r="C78" s="501" t="s">
        <v>497</v>
      </c>
      <c r="D78" s="501" t="s">
        <v>616</v>
      </c>
      <c r="E78" s="511">
        <v>1</v>
      </c>
      <c r="F78" s="501" t="s">
        <v>963</v>
      </c>
      <c r="G78" s="506">
        <v>1.68</v>
      </c>
      <c r="H78" s="500">
        <f t="shared" si="18"/>
        <v>111115.2</v>
      </c>
      <c r="I78" s="106"/>
      <c r="J78" s="523"/>
      <c r="K78" s="224">
        <f t="shared" si="19"/>
        <v>111115.2</v>
      </c>
      <c r="L78" s="511">
        <v>1</v>
      </c>
      <c r="M78" s="501"/>
      <c r="N78" s="506">
        <v>1.68</v>
      </c>
      <c r="O78" s="512">
        <f>N78*66140</f>
        <v>111115.2</v>
      </c>
      <c r="P78" s="512"/>
      <c r="Q78" s="523"/>
      <c r="R78" s="512">
        <f>O78+P78+Q78</f>
        <v>111115.2</v>
      </c>
      <c r="S78" s="224">
        <f t="shared" si="26"/>
        <v>0</v>
      </c>
      <c r="T78" s="224">
        <f t="shared" si="33"/>
        <v>0</v>
      </c>
      <c r="U78" s="224">
        <f t="shared" si="33"/>
        <v>0</v>
      </c>
      <c r="V78" s="224">
        <f t="shared" si="33"/>
        <v>0</v>
      </c>
      <c r="W78" s="224">
        <f t="shared" si="29"/>
        <v>0</v>
      </c>
      <c r="X78" s="511">
        <v>1</v>
      </c>
      <c r="Y78" s="501"/>
      <c r="Z78" s="506">
        <v>1.68</v>
      </c>
      <c r="AA78" s="500">
        <f t="shared" si="21"/>
        <v>111115.2</v>
      </c>
      <c r="AB78" s="106"/>
      <c r="AC78" s="523"/>
      <c r="AD78" s="224">
        <f t="shared" si="27"/>
        <v>111115.2</v>
      </c>
      <c r="AE78" s="511">
        <v>1</v>
      </c>
      <c r="AF78" s="501"/>
      <c r="AG78" s="506">
        <v>1.68</v>
      </c>
      <c r="AH78" s="500">
        <f t="shared" si="24"/>
        <v>111115.2</v>
      </c>
      <c r="AI78" s="106"/>
      <c r="AJ78" s="523"/>
      <c r="AK78" s="224">
        <f t="shared" si="28"/>
        <v>111115.2</v>
      </c>
    </row>
    <row r="79" spans="1:37" x14ac:dyDescent="0.25">
      <c r="A79" s="494"/>
      <c r="B79" s="518" t="s">
        <v>169</v>
      </c>
      <c r="C79" s="519" t="s">
        <v>1</v>
      </c>
      <c r="D79" s="519" t="s">
        <v>1</v>
      </c>
      <c r="E79" s="520">
        <f>SUM(E68:E78)</f>
        <v>9</v>
      </c>
      <c r="F79" s="519" t="s">
        <v>1</v>
      </c>
      <c r="G79" s="519" t="s">
        <v>1</v>
      </c>
      <c r="H79" s="520">
        <f>H68+H70+H71+H72+H73+H74+H76+H77+H78</f>
        <v>2211060.1999999997</v>
      </c>
      <c r="I79" s="520">
        <f>I68+I70+I71+I72+I73+I74+I76+I77+I78</f>
        <v>0</v>
      </c>
      <c r="J79" s="520">
        <f>J68+J70+J71+J72+J73+J74+J76+J77+J78</f>
        <v>77945.989999999991</v>
      </c>
      <c r="K79" s="520">
        <f>K68+K70+K71+K72+K73+K74+K76+K77+K78</f>
        <v>2289006.1900000004</v>
      </c>
      <c r="L79" s="520">
        <f>SUM(L68:L78)</f>
        <v>9</v>
      </c>
      <c r="M79" s="519" t="s">
        <v>1</v>
      </c>
      <c r="N79" s="519" t="s">
        <v>1</v>
      </c>
      <c r="O79" s="520">
        <f>SUM(O68:O78)</f>
        <v>2178651.5999999996</v>
      </c>
      <c r="P79" s="520">
        <f>SUM(P68:P78)</f>
        <v>0</v>
      </c>
      <c r="Q79" s="520">
        <f>SUM(Q68:Q78)</f>
        <v>76325.560000000012</v>
      </c>
      <c r="R79" s="520">
        <f>R68+R70+R71+R72+R73+R74+R76+R77+R78</f>
        <v>2254977.16</v>
      </c>
      <c r="S79" s="224">
        <f t="shared" si="26"/>
        <v>0</v>
      </c>
      <c r="T79" s="224">
        <f t="shared" si="33"/>
        <v>32408.600000000093</v>
      </c>
      <c r="U79" s="224">
        <f t="shared" si="33"/>
        <v>0</v>
      </c>
      <c r="V79" s="224">
        <f t="shared" si="33"/>
        <v>1620.4299999999785</v>
      </c>
      <c r="W79" s="224">
        <f t="shared" si="29"/>
        <v>34029.030000000072</v>
      </c>
      <c r="X79" s="520">
        <f>SUM(X68:X78)</f>
        <v>9</v>
      </c>
      <c r="Y79" s="519" t="s">
        <v>1</v>
      </c>
      <c r="Z79" s="519" t="s">
        <v>1</v>
      </c>
      <c r="AA79" s="520">
        <f>SUM(AA68:AA78)</f>
        <v>2224949.6</v>
      </c>
      <c r="AB79" s="520">
        <f>SUM(AB68:AB78)</f>
        <v>0</v>
      </c>
      <c r="AC79" s="520">
        <f>SUM(AC68:AC78)</f>
        <v>78640.459999999992</v>
      </c>
      <c r="AD79" s="520">
        <f>SUM(AD68:AD78)</f>
        <v>2303590.0600000005</v>
      </c>
      <c r="AE79" s="520">
        <f>SUM(AE68:AE78)</f>
        <v>9</v>
      </c>
      <c r="AF79" s="519" t="s">
        <v>1</v>
      </c>
      <c r="AG79" s="519" t="s">
        <v>1</v>
      </c>
      <c r="AH79" s="520">
        <f>SUM(AH68:AH78)</f>
        <v>2239500.4000000004</v>
      </c>
      <c r="AI79" s="520">
        <f>SUM(AI68:AI78)</f>
        <v>0</v>
      </c>
      <c r="AJ79" s="520">
        <f>SUM(AJ68:AJ78)</f>
        <v>79368</v>
      </c>
      <c r="AK79" s="520">
        <f>SUM(AK68:AK78)</f>
        <v>2318868.4000000004</v>
      </c>
    </row>
    <row r="80" spans="1:37" x14ac:dyDescent="0.25">
      <c r="A80" s="494"/>
      <c r="B80" s="605" t="s">
        <v>617</v>
      </c>
      <c r="C80" s="605"/>
      <c r="D80" s="605"/>
      <c r="E80" s="511"/>
      <c r="F80" s="498"/>
      <c r="G80" s="506"/>
      <c r="H80" s="500">
        <f t="shared" ref="H80:H142" si="34">G80*66140</f>
        <v>0</v>
      </c>
      <c r="I80" s="106"/>
      <c r="J80" s="523"/>
      <c r="K80" s="224">
        <f t="shared" si="19"/>
        <v>0</v>
      </c>
      <c r="L80" s="511"/>
      <c r="M80" s="498"/>
      <c r="N80" s="506"/>
      <c r="O80" s="512"/>
      <c r="P80" s="512"/>
      <c r="Q80" s="523"/>
      <c r="R80" s="512"/>
      <c r="S80" s="224">
        <f t="shared" si="26"/>
        <v>0</v>
      </c>
      <c r="T80" s="224">
        <f t="shared" si="33"/>
        <v>0</v>
      </c>
      <c r="U80" s="224">
        <f t="shared" si="33"/>
        <v>0</v>
      </c>
      <c r="V80" s="224">
        <f t="shared" si="33"/>
        <v>0</v>
      </c>
      <c r="W80" s="224">
        <f t="shared" si="29"/>
        <v>0</v>
      </c>
      <c r="X80" s="511"/>
      <c r="Y80" s="498"/>
      <c r="Z80" s="506"/>
      <c r="AA80" s="500">
        <f t="shared" ref="AA80:AA142" si="35">Z80*66140</f>
        <v>0</v>
      </c>
      <c r="AB80" s="106"/>
      <c r="AC80" s="523"/>
      <c r="AD80" s="224">
        <f t="shared" si="27"/>
        <v>0</v>
      </c>
      <c r="AE80" s="511"/>
      <c r="AF80" s="498"/>
      <c r="AG80" s="506"/>
      <c r="AH80" s="500">
        <f t="shared" ref="AH80:AH142" si="36">AG80*66140</f>
        <v>0</v>
      </c>
      <c r="AI80" s="106"/>
      <c r="AJ80" s="523"/>
      <c r="AK80" s="224">
        <f t="shared" si="28"/>
        <v>0</v>
      </c>
    </row>
    <row r="81" spans="1:37" ht="25.5" x14ac:dyDescent="0.25">
      <c r="A81" s="494">
        <v>46</v>
      </c>
      <c r="B81" s="517" t="s">
        <v>618</v>
      </c>
      <c r="C81" s="517" t="s">
        <v>525</v>
      </c>
      <c r="D81" s="515" t="s">
        <v>619</v>
      </c>
      <c r="E81" s="511">
        <v>1</v>
      </c>
      <c r="F81" s="501" t="s">
        <v>621</v>
      </c>
      <c r="G81" s="506">
        <v>5.35</v>
      </c>
      <c r="H81" s="500">
        <f t="shared" si="34"/>
        <v>353849</v>
      </c>
      <c r="I81" s="106"/>
      <c r="J81" s="523"/>
      <c r="K81" s="224">
        <f t="shared" si="19"/>
        <v>353849</v>
      </c>
      <c r="L81" s="511">
        <v>1</v>
      </c>
      <c r="M81" s="515" t="s">
        <v>620</v>
      </c>
      <c r="N81" s="516">
        <v>5.18</v>
      </c>
      <c r="O81" s="512">
        <f>N81*66140</f>
        <v>342605.19999999995</v>
      </c>
      <c r="P81" s="512"/>
      <c r="Q81" s="522"/>
      <c r="R81" s="512">
        <f>O81+P81+Q81</f>
        <v>342605.19999999995</v>
      </c>
      <c r="S81" s="224">
        <f t="shared" si="26"/>
        <v>0</v>
      </c>
      <c r="T81" s="224">
        <f t="shared" si="33"/>
        <v>11243.800000000047</v>
      </c>
      <c r="U81" s="224">
        <f t="shared" si="33"/>
        <v>0</v>
      </c>
      <c r="V81" s="224">
        <f t="shared" si="33"/>
        <v>0</v>
      </c>
      <c r="W81" s="224">
        <f t="shared" si="29"/>
        <v>11243.800000000047</v>
      </c>
      <c r="X81" s="511">
        <v>1</v>
      </c>
      <c r="Y81" s="501" t="s">
        <v>622</v>
      </c>
      <c r="Z81" s="506">
        <v>5.35</v>
      </c>
      <c r="AA81" s="500">
        <f t="shared" si="35"/>
        <v>353849</v>
      </c>
      <c r="AB81" s="106"/>
      <c r="AC81" s="523"/>
      <c r="AD81" s="224">
        <f t="shared" si="27"/>
        <v>353849</v>
      </c>
      <c r="AE81" s="511">
        <v>1</v>
      </c>
      <c r="AF81" s="501" t="s">
        <v>1020</v>
      </c>
      <c r="AG81" s="506">
        <v>5.52</v>
      </c>
      <c r="AH81" s="500">
        <f t="shared" si="36"/>
        <v>365092.8</v>
      </c>
      <c r="AI81" s="106"/>
      <c r="AJ81" s="523"/>
      <c r="AK81" s="224">
        <f t="shared" si="28"/>
        <v>365092.8</v>
      </c>
    </row>
    <row r="82" spans="1:37" ht="25.5" x14ac:dyDescent="0.25">
      <c r="A82" s="494">
        <v>47</v>
      </c>
      <c r="B82" s="517" t="s">
        <v>623</v>
      </c>
      <c r="C82" s="517" t="s">
        <v>536</v>
      </c>
      <c r="D82" s="515" t="s">
        <v>624</v>
      </c>
      <c r="E82" s="511">
        <v>1</v>
      </c>
      <c r="F82" s="501" t="s">
        <v>626</v>
      </c>
      <c r="G82" s="506">
        <v>3.76</v>
      </c>
      <c r="H82" s="500">
        <f t="shared" si="34"/>
        <v>248686.4</v>
      </c>
      <c r="I82" s="106"/>
      <c r="J82" s="523">
        <f t="shared" ref="J82:J87" si="37">H82*0.05</f>
        <v>12434.32</v>
      </c>
      <c r="K82" s="224">
        <f t="shared" si="19"/>
        <v>261120.72</v>
      </c>
      <c r="L82" s="511">
        <v>1</v>
      </c>
      <c r="M82" s="515" t="s">
        <v>625</v>
      </c>
      <c r="N82" s="516">
        <v>3.64</v>
      </c>
      <c r="O82" s="512">
        <f>N82*66140</f>
        <v>240749.6</v>
      </c>
      <c r="P82" s="512"/>
      <c r="Q82" s="522">
        <f>O82*0.05</f>
        <v>12037.480000000001</v>
      </c>
      <c r="R82" s="512">
        <f>O82+P82+Q82</f>
        <v>252787.08000000002</v>
      </c>
      <c r="S82" s="224">
        <f t="shared" si="26"/>
        <v>0</v>
      </c>
      <c r="T82" s="224">
        <f t="shared" si="33"/>
        <v>7936.7999999999884</v>
      </c>
      <c r="U82" s="224">
        <f t="shared" si="33"/>
        <v>0</v>
      </c>
      <c r="V82" s="224">
        <f t="shared" si="33"/>
        <v>396.83999999999833</v>
      </c>
      <c r="W82" s="224">
        <f t="shared" si="29"/>
        <v>8333.6399999999867</v>
      </c>
      <c r="X82" s="511">
        <v>1</v>
      </c>
      <c r="Y82" s="501" t="s">
        <v>627</v>
      </c>
      <c r="Z82" s="506">
        <v>3.76</v>
      </c>
      <c r="AA82" s="500">
        <f t="shared" si="35"/>
        <v>248686.4</v>
      </c>
      <c r="AB82" s="106"/>
      <c r="AC82" s="523">
        <f t="shared" ref="AC82:AC87" si="38">AA82*0.05</f>
        <v>12434.32</v>
      </c>
      <c r="AD82" s="224">
        <f t="shared" si="27"/>
        <v>261120.72</v>
      </c>
      <c r="AE82" s="511">
        <v>1</v>
      </c>
      <c r="AF82" s="501" t="s">
        <v>1021</v>
      </c>
      <c r="AG82" s="506">
        <v>3.76</v>
      </c>
      <c r="AH82" s="500">
        <f t="shared" si="36"/>
        <v>248686.4</v>
      </c>
      <c r="AI82" s="106"/>
      <c r="AJ82" s="523">
        <f t="shared" ref="AJ82:AJ87" si="39">AH82*0.05</f>
        <v>12434.32</v>
      </c>
      <c r="AK82" s="224">
        <f t="shared" si="28"/>
        <v>261120.72</v>
      </c>
    </row>
    <row r="83" spans="1:37" ht="25.5" x14ac:dyDescent="0.25">
      <c r="A83" s="494">
        <v>48</v>
      </c>
      <c r="B83" s="498" t="s">
        <v>628</v>
      </c>
      <c r="C83" s="498" t="s">
        <v>536</v>
      </c>
      <c r="D83" s="501" t="s">
        <v>629</v>
      </c>
      <c r="E83" s="511">
        <v>1</v>
      </c>
      <c r="F83" s="498" t="s">
        <v>631</v>
      </c>
      <c r="G83" s="506">
        <v>3.76</v>
      </c>
      <c r="H83" s="500">
        <f t="shared" si="34"/>
        <v>248686.4</v>
      </c>
      <c r="I83" s="106"/>
      <c r="J83" s="523">
        <f t="shared" si="37"/>
        <v>12434.32</v>
      </c>
      <c r="K83" s="224">
        <f t="shared" si="19"/>
        <v>261120.72</v>
      </c>
      <c r="L83" s="511">
        <v>1</v>
      </c>
      <c r="M83" s="498" t="s">
        <v>630</v>
      </c>
      <c r="N83" s="506">
        <v>3.64</v>
      </c>
      <c r="O83" s="512">
        <f>N83*66140</f>
        <v>240749.6</v>
      </c>
      <c r="P83" s="512"/>
      <c r="Q83" s="523">
        <f>O83*0.05</f>
        <v>12037.480000000001</v>
      </c>
      <c r="R83" s="512">
        <f>O83+P83+Q83</f>
        <v>252787.08000000002</v>
      </c>
      <c r="S83" s="224">
        <f t="shared" si="26"/>
        <v>0</v>
      </c>
      <c r="T83" s="224">
        <f t="shared" si="33"/>
        <v>7936.7999999999884</v>
      </c>
      <c r="U83" s="224">
        <f t="shared" si="33"/>
        <v>0</v>
      </c>
      <c r="V83" s="224">
        <f t="shared" si="33"/>
        <v>396.83999999999833</v>
      </c>
      <c r="W83" s="224">
        <f t="shared" si="29"/>
        <v>8333.6399999999867</v>
      </c>
      <c r="X83" s="511">
        <v>1</v>
      </c>
      <c r="Y83" s="498" t="s">
        <v>632</v>
      </c>
      <c r="Z83" s="506">
        <v>3.76</v>
      </c>
      <c r="AA83" s="500">
        <f t="shared" si="35"/>
        <v>248686.4</v>
      </c>
      <c r="AB83" s="106"/>
      <c r="AC83" s="523">
        <f t="shared" si="38"/>
        <v>12434.32</v>
      </c>
      <c r="AD83" s="224">
        <f t="shared" si="27"/>
        <v>261120.72</v>
      </c>
      <c r="AE83" s="511">
        <v>1</v>
      </c>
      <c r="AF83" s="498" t="s">
        <v>1022</v>
      </c>
      <c r="AG83" s="506">
        <v>3.76</v>
      </c>
      <c r="AH83" s="500">
        <f t="shared" si="36"/>
        <v>248686.4</v>
      </c>
      <c r="AI83" s="106"/>
      <c r="AJ83" s="523">
        <f t="shared" si="39"/>
        <v>12434.32</v>
      </c>
      <c r="AK83" s="224">
        <f t="shared" si="28"/>
        <v>261120.72</v>
      </c>
    </row>
    <row r="84" spans="1:37" ht="13.5" customHeight="1" x14ac:dyDescent="0.25">
      <c r="A84" s="494"/>
      <c r="B84" s="603" t="s">
        <v>633</v>
      </c>
      <c r="C84" s="603"/>
      <c r="D84" s="603"/>
      <c r="E84" s="511"/>
      <c r="F84" s="498"/>
      <c r="G84" s="506"/>
      <c r="H84" s="500">
        <f t="shared" si="34"/>
        <v>0</v>
      </c>
      <c r="I84" s="106"/>
      <c r="J84" s="523">
        <f t="shared" si="37"/>
        <v>0</v>
      </c>
      <c r="K84" s="224">
        <f t="shared" si="19"/>
        <v>0</v>
      </c>
      <c r="L84" s="511"/>
      <c r="M84" s="498"/>
      <c r="N84" s="506"/>
      <c r="O84" s="512"/>
      <c r="P84" s="512"/>
      <c r="Q84" s="523"/>
      <c r="R84" s="512"/>
      <c r="S84" s="224">
        <f t="shared" si="26"/>
        <v>0</v>
      </c>
      <c r="T84" s="224">
        <f t="shared" si="33"/>
        <v>0</v>
      </c>
      <c r="U84" s="224">
        <f t="shared" si="33"/>
        <v>0</v>
      </c>
      <c r="V84" s="224">
        <f t="shared" si="33"/>
        <v>0</v>
      </c>
      <c r="W84" s="224">
        <f t="shared" si="29"/>
        <v>0</v>
      </c>
      <c r="X84" s="511"/>
      <c r="Y84" s="498"/>
      <c r="Z84" s="506"/>
      <c r="AA84" s="500">
        <f t="shared" si="35"/>
        <v>0</v>
      </c>
      <c r="AB84" s="106"/>
      <c r="AC84" s="523">
        <f t="shared" si="38"/>
        <v>0</v>
      </c>
      <c r="AD84" s="224">
        <f t="shared" si="27"/>
        <v>0</v>
      </c>
      <c r="AE84" s="511"/>
      <c r="AF84" s="498"/>
      <c r="AG84" s="506"/>
      <c r="AH84" s="500">
        <f t="shared" si="36"/>
        <v>0</v>
      </c>
      <c r="AI84" s="106"/>
      <c r="AJ84" s="523">
        <f t="shared" si="39"/>
        <v>0</v>
      </c>
      <c r="AK84" s="224">
        <f t="shared" si="28"/>
        <v>0</v>
      </c>
    </row>
    <row r="85" spans="1:37" x14ac:dyDescent="0.25">
      <c r="A85" s="494">
        <v>49</v>
      </c>
      <c r="B85" s="517" t="s">
        <v>955</v>
      </c>
      <c r="C85" s="498" t="s">
        <v>481</v>
      </c>
      <c r="D85" s="501" t="s">
        <v>634</v>
      </c>
      <c r="E85" s="511">
        <v>1</v>
      </c>
      <c r="F85" s="501"/>
      <c r="G85" s="506">
        <v>4.55</v>
      </c>
      <c r="H85" s="500">
        <f t="shared" si="34"/>
        <v>300937</v>
      </c>
      <c r="I85" s="106"/>
      <c r="J85" s="523"/>
      <c r="K85" s="224">
        <f t="shared" si="19"/>
        <v>300937</v>
      </c>
      <c r="L85" s="511">
        <v>1</v>
      </c>
      <c r="M85" s="501"/>
      <c r="N85" s="506">
        <v>4.55</v>
      </c>
      <c r="O85" s="512">
        <f>N85*66140</f>
        <v>300937</v>
      </c>
      <c r="P85" s="512"/>
      <c r="Q85" s="523">
        <v>0</v>
      </c>
      <c r="R85" s="512">
        <f>O85+P85+Q85</f>
        <v>300937</v>
      </c>
      <c r="S85" s="224">
        <f t="shared" si="26"/>
        <v>0</v>
      </c>
      <c r="T85" s="224">
        <f t="shared" si="33"/>
        <v>0</v>
      </c>
      <c r="U85" s="224">
        <f t="shared" si="33"/>
        <v>0</v>
      </c>
      <c r="V85" s="224">
        <f t="shared" si="33"/>
        <v>0</v>
      </c>
      <c r="W85" s="224">
        <f t="shared" si="29"/>
        <v>0</v>
      </c>
      <c r="X85" s="511">
        <v>1</v>
      </c>
      <c r="Y85" s="501"/>
      <c r="Z85" s="506">
        <v>4.55</v>
      </c>
      <c r="AA85" s="500">
        <f t="shared" si="35"/>
        <v>300937</v>
      </c>
      <c r="AB85" s="106"/>
      <c r="AC85" s="523"/>
      <c r="AD85" s="224">
        <f t="shared" si="27"/>
        <v>300937</v>
      </c>
      <c r="AE85" s="511">
        <v>1</v>
      </c>
      <c r="AF85" s="501"/>
      <c r="AG85" s="506">
        <v>4.55</v>
      </c>
      <c r="AH85" s="500">
        <f t="shared" si="36"/>
        <v>300937</v>
      </c>
      <c r="AI85" s="106"/>
      <c r="AJ85" s="523"/>
      <c r="AK85" s="224">
        <f t="shared" si="28"/>
        <v>300937</v>
      </c>
    </row>
    <row r="86" spans="1:37" ht="25.5" x14ac:dyDescent="0.25">
      <c r="A86" s="494">
        <v>50</v>
      </c>
      <c r="B86" s="498" t="s">
        <v>635</v>
      </c>
      <c r="C86" s="498" t="s">
        <v>491</v>
      </c>
      <c r="D86" s="501" t="s">
        <v>636</v>
      </c>
      <c r="E86" s="511">
        <v>1</v>
      </c>
      <c r="F86" s="501" t="s">
        <v>638</v>
      </c>
      <c r="G86" s="506">
        <v>3.01</v>
      </c>
      <c r="H86" s="500">
        <f t="shared" si="34"/>
        <v>199081.4</v>
      </c>
      <c r="I86" s="106"/>
      <c r="J86" s="523">
        <f t="shared" si="37"/>
        <v>9954.07</v>
      </c>
      <c r="K86" s="224">
        <f t="shared" si="19"/>
        <v>209035.47</v>
      </c>
      <c r="L86" s="511">
        <v>1</v>
      </c>
      <c r="M86" s="501" t="s">
        <v>637</v>
      </c>
      <c r="N86" s="506">
        <v>2.92</v>
      </c>
      <c r="O86" s="512">
        <f>N86*66140</f>
        <v>193128.8</v>
      </c>
      <c r="P86" s="512"/>
      <c r="Q86" s="523">
        <f>O86*0.05</f>
        <v>9656.44</v>
      </c>
      <c r="R86" s="512">
        <f>O86+P86+Q86</f>
        <v>202785.24</v>
      </c>
      <c r="S86" s="224">
        <f t="shared" si="26"/>
        <v>0</v>
      </c>
      <c r="T86" s="224">
        <f t="shared" si="33"/>
        <v>5952.6000000000058</v>
      </c>
      <c r="U86" s="224">
        <f t="shared" si="33"/>
        <v>0</v>
      </c>
      <c r="V86" s="224">
        <f t="shared" si="33"/>
        <v>297.6299999999992</v>
      </c>
      <c r="W86" s="224">
        <f t="shared" si="29"/>
        <v>6250.230000000005</v>
      </c>
      <c r="X86" s="511">
        <v>1</v>
      </c>
      <c r="Y86" s="501" t="s">
        <v>639</v>
      </c>
      <c r="Z86" s="506">
        <v>3.01</v>
      </c>
      <c r="AA86" s="500">
        <f t="shared" si="35"/>
        <v>199081.4</v>
      </c>
      <c r="AB86" s="106"/>
      <c r="AC86" s="523">
        <f t="shared" si="38"/>
        <v>9954.07</v>
      </c>
      <c r="AD86" s="224">
        <f t="shared" si="27"/>
        <v>209035.47</v>
      </c>
      <c r="AE86" s="511">
        <v>1</v>
      </c>
      <c r="AF86" s="501" t="s">
        <v>1023</v>
      </c>
      <c r="AG86" s="506">
        <v>3.01</v>
      </c>
      <c r="AH86" s="500">
        <f t="shared" si="36"/>
        <v>199081.4</v>
      </c>
      <c r="AI86" s="106"/>
      <c r="AJ86" s="523">
        <f t="shared" si="39"/>
        <v>9954.07</v>
      </c>
      <c r="AK86" s="224">
        <f t="shared" si="28"/>
        <v>209035.47</v>
      </c>
    </row>
    <row r="87" spans="1:37" ht="25.5" x14ac:dyDescent="0.25">
      <c r="A87" s="494">
        <v>51</v>
      </c>
      <c r="B87" s="498" t="s">
        <v>640</v>
      </c>
      <c r="C87" s="501" t="s">
        <v>497</v>
      </c>
      <c r="D87" s="501" t="s">
        <v>641</v>
      </c>
      <c r="E87" s="511">
        <v>1</v>
      </c>
      <c r="F87" s="501" t="s">
        <v>643</v>
      </c>
      <c r="G87" s="506">
        <v>2.2799999999999998</v>
      </c>
      <c r="H87" s="500">
        <f t="shared" si="34"/>
        <v>150799.19999999998</v>
      </c>
      <c r="I87" s="106"/>
      <c r="J87" s="523">
        <f t="shared" si="37"/>
        <v>7539.9599999999991</v>
      </c>
      <c r="K87" s="224">
        <f t="shared" si="19"/>
        <v>158339.15999999997</v>
      </c>
      <c r="L87" s="511">
        <v>1</v>
      </c>
      <c r="M87" s="501" t="s">
        <v>642</v>
      </c>
      <c r="N87" s="506">
        <v>2.2799999999999998</v>
      </c>
      <c r="O87" s="512">
        <f>N87*66140</f>
        <v>150799.19999999998</v>
      </c>
      <c r="P87" s="512"/>
      <c r="Q87" s="523">
        <f>O87*0.05</f>
        <v>7539.9599999999991</v>
      </c>
      <c r="R87" s="512">
        <f>O87+P87+Q87</f>
        <v>158339.15999999997</v>
      </c>
      <c r="S87" s="224">
        <f t="shared" si="26"/>
        <v>0</v>
      </c>
      <c r="T87" s="224">
        <f t="shared" si="33"/>
        <v>0</v>
      </c>
      <c r="U87" s="224">
        <f t="shared" si="33"/>
        <v>0</v>
      </c>
      <c r="V87" s="224">
        <f t="shared" si="33"/>
        <v>0</v>
      </c>
      <c r="W87" s="224">
        <f t="shared" si="29"/>
        <v>0</v>
      </c>
      <c r="X87" s="511">
        <v>1</v>
      </c>
      <c r="Y87" s="501" t="s">
        <v>644</v>
      </c>
      <c r="Z87" s="506">
        <v>2.2799999999999998</v>
      </c>
      <c r="AA87" s="500">
        <f t="shared" si="35"/>
        <v>150799.19999999998</v>
      </c>
      <c r="AB87" s="106"/>
      <c r="AC87" s="523">
        <f t="shared" si="38"/>
        <v>7539.9599999999991</v>
      </c>
      <c r="AD87" s="224">
        <f t="shared" si="27"/>
        <v>158339.15999999997</v>
      </c>
      <c r="AE87" s="511">
        <v>1</v>
      </c>
      <c r="AF87" s="501" t="s">
        <v>1024</v>
      </c>
      <c r="AG87" s="506">
        <v>2.2799999999999998</v>
      </c>
      <c r="AH87" s="500">
        <f t="shared" si="36"/>
        <v>150799.19999999998</v>
      </c>
      <c r="AI87" s="106"/>
      <c r="AJ87" s="523">
        <f t="shared" si="39"/>
        <v>7539.9599999999991</v>
      </c>
      <c r="AK87" s="224">
        <f t="shared" si="28"/>
        <v>158339.15999999997</v>
      </c>
    </row>
    <row r="88" spans="1:37" x14ac:dyDescent="0.25">
      <c r="A88" s="494"/>
      <c r="B88" s="518" t="s">
        <v>169</v>
      </c>
      <c r="C88" s="519" t="s">
        <v>1</v>
      </c>
      <c r="D88" s="519" t="s">
        <v>1</v>
      </c>
      <c r="E88" s="520">
        <f>SUM(E81:E87)</f>
        <v>6</v>
      </c>
      <c r="F88" s="519" t="s">
        <v>1</v>
      </c>
      <c r="G88" s="519" t="s">
        <v>1</v>
      </c>
      <c r="H88" s="520">
        <f>H81+H82+H83+H85+H86+H87</f>
        <v>1502039.4</v>
      </c>
      <c r="I88" s="520">
        <f>I81+I82+I83+I85+I86+I87</f>
        <v>0</v>
      </c>
      <c r="J88" s="520">
        <f>J81+J82+J83+J85+J86+J87</f>
        <v>42362.67</v>
      </c>
      <c r="K88" s="520">
        <f>K81+K82+K83+K85+K86+K87</f>
        <v>1544402.0699999998</v>
      </c>
      <c r="L88" s="520">
        <f>SUM(L81:L87)</f>
        <v>6</v>
      </c>
      <c r="M88" s="519" t="s">
        <v>1</v>
      </c>
      <c r="N88" s="519" t="s">
        <v>1</v>
      </c>
      <c r="O88" s="520">
        <f>SUM(O81:O87)</f>
        <v>1468969.4</v>
      </c>
      <c r="P88" s="520">
        <f>SUM(P81:P87)</f>
        <v>0</v>
      </c>
      <c r="Q88" s="520">
        <f>SUM(Q81:Q87)</f>
        <v>41271.360000000001</v>
      </c>
      <c r="R88" s="520">
        <f>R81+R82+R83+R85+R86+R87</f>
        <v>1510240.76</v>
      </c>
      <c r="S88" s="224">
        <f t="shared" si="26"/>
        <v>0</v>
      </c>
      <c r="T88" s="224">
        <f t="shared" si="33"/>
        <v>33070</v>
      </c>
      <c r="U88" s="224">
        <f t="shared" si="33"/>
        <v>0</v>
      </c>
      <c r="V88" s="224">
        <f t="shared" si="33"/>
        <v>1091.3099999999977</v>
      </c>
      <c r="W88" s="224">
        <f t="shared" si="29"/>
        <v>34161.31</v>
      </c>
      <c r="X88" s="520">
        <f>SUM(X81:X87)</f>
        <v>6</v>
      </c>
      <c r="Y88" s="519" t="s">
        <v>1</v>
      </c>
      <c r="Z88" s="519" t="s">
        <v>1</v>
      </c>
      <c r="AA88" s="520">
        <f>SUM(AA81:AA87)</f>
        <v>1502039.4</v>
      </c>
      <c r="AB88" s="520">
        <f>SUM(AB81:AB87)</f>
        <v>0</v>
      </c>
      <c r="AC88" s="520">
        <f>SUM(AC81:AC87)</f>
        <v>42362.67</v>
      </c>
      <c r="AD88" s="520">
        <f>SUM(AD81:AD87)</f>
        <v>1544402.0699999998</v>
      </c>
      <c r="AE88" s="520">
        <f>SUM(AE81:AE87)</f>
        <v>6</v>
      </c>
      <c r="AF88" s="519" t="s">
        <v>1</v>
      </c>
      <c r="AG88" s="519" t="s">
        <v>1</v>
      </c>
      <c r="AH88" s="520">
        <f>SUM(AH81:AH87)</f>
        <v>1513283.2</v>
      </c>
      <c r="AI88" s="520">
        <f>SUM(AI81:AI87)</f>
        <v>0</v>
      </c>
      <c r="AJ88" s="520">
        <f>SUM(AJ81:AJ87)</f>
        <v>42362.67</v>
      </c>
      <c r="AK88" s="520">
        <f>SUM(AK81:AK87)</f>
        <v>1555645.8699999999</v>
      </c>
    </row>
    <row r="89" spans="1:37" ht="13.5" customHeight="1" x14ac:dyDescent="0.25">
      <c r="A89" s="494"/>
      <c r="B89" s="601" t="s">
        <v>645</v>
      </c>
      <c r="C89" s="601"/>
      <c r="D89" s="601"/>
      <c r="E89" s="511"/>
      <c r="F89" s="498"/>
      <c r="G89" s="506"/>
      <c r="H89" s="500">
        <f t="shared" si="34"/>
        <v>0</v>
      </c>
      <c r="I89" s="106"/>
      <c r="J89" s="523"/>
      <c r="K89" s="224">
        <f t="shared" ref="K89:K152" si="40">H89+I89+J89</f>
        <v>0</v>
      </c>
      <c r="L89" s="511"/>
      <c r="M89" s="498"/>
      <c r="N89" s="506"/>
      <c r="O89" s="512"/>
      <c r="P89" s="512"/>
      <c r="Q89" s="523"/>
      <c r="R89" s="512"/>
      <c r="S89" s="224">
        <f t="shared" si="26"/>
        <v>0</v>
      </c>
      <c r="T89" s="224">
        <f t="shared" si="33"/>
        <v>0</v>
      </c>
      <c r="U89" s="224">
        <f t="shared" si="33"/>
        <v>0</v>
      </c>
      <c r="V89" s="224">
        <f t="shared" si="33"/>
        <v>0</v>
      </c>
      <c r="W89" s="224">
        <f t="shared" si="29"/>
        <v>0</v>
      </c>
      <c r="X89" s="511"/>
      <c r="Y89" s="498"/>
      <c r="Z89" s="506"/>
      <c r="AA89" s="500">
        <f t="shared" si="35"/>
        <v>0</v>
      </c>
      <c r="AB89" s="106"/>
      <c r="AC89" s="523"/>
      <c r="AD89" s="224">
        <f t="shared" si="27"/>
        <v>0</v>
      </c>
      <c r="AE89" s="511"/>
      <c r="AF89" s="498"/>
      <c r="AG89" s="506"/>
      <c r="AH89" s="500">
        <f t="shared" si="36"/>
        <v>0</v>
      </c>
      <c r="AI89" s="106"/>
      <c r="AJ89" s="523"/>
      <c r="AK89" s="224">
        <f t="shared" si="28"/>
        <v>0</v>
      </c>
    </row>
    <row r="90" spans="1:37" ht="25.5" x14ac:dyDescent="0.25">
      <c r="A90" s="494">
        <v>52</v>
      </c>
      <c r="B90" s="498" t="s">
        <v>646</v>
      </c>
      <c r="C90" s="498" t="s">
        <v>525</v>
      </c>
      <c r="D90" s="501" t="s">
        <v>647</v>
      </c>
      <c r="E90" s="511">
        <v>1</v>
      </c>
      <c r="F90" s="499" t="s">
        <v>649</v>
      </c>
      <c r="G90" s="506">
        <v>5.35</v>
      </c>
      <c r="H90" s="500">
        <f t="shared" si="34"/>
        <v>353849</v>
      </c>
      <c r="I90" s="106"/>
      <c r="J90" s="523"/>
      <c r="K90" s="224">
        <f t="shared" si="40"/>
        <v>353849</v>
      </c>
      <c r="L90" s="511">
        <v>1</v>
      </c>
      <c r="M90" s="499" t="s">
        <v>648</v>
      </c>
      <c r="N90" s="506">
        <v>5.18</v>
      </c>
      <c r="O90" s="512">
        <f>N90*66140</f>
        <v>342605.19999999995</v>
      </c>
      <c r="P90" s="512"/>
      <c r="Q90" s="523"/>
      <c r="R90" s="512">
        <f>O90+P90+Q90</f>
        <v>342605.19999999995</v>
      </c>
      <c r="S90" s="224">
        <f t="shared" si="26"/>
        <v>0</v>
      </c>
      <c r="T90" s="224">
        <f t="shared" si="33"/>
        <v>11243.800000000047</v>
      </c>
      <c r="U90" s="224">
        <f t="shared" si="33"/>
        <v>0</v>
      </c>
      <c r="V90" s="224">
        <f t="shared" si="33"/>
        <v>0</v>
      </c>
      <c r="W90" s="224">
        <f t="shared" si="29"/>
        <v>11243.800000000047</v>
      </c>
      <c r="X90" s="511">
        <v>1</v>
      </c>
      <c r="Y90" s="499" t="s">
        <v>650</v>
      </c>
      <c r="Z90" s="506">
        <v>5.35</v>
      </c>
      <c r="AA90" s="500">
        <f t="shared" si="35"/>
        <v>353849</v>
      </c>
      <c r="AB90" s="106"/>
      <c r="AC90" s="523"/>
      <c r="AD90" s="224">
        <f t="shared" si="27"/>
        <v>353849</v>
      </c>
      <c r="AE90" s="511">
        <v>1</v>
      </c>
      <c r="AF90" s="499" t="s">
        <v>1025</v>
      </c>
      <c r="AG90" s="506">
        <v>5.52</v>
      </c>
      <c r="AH90" s="500">
        <f t="shared" si="36"/>
        <v>365092.8</v>
      </c>
      <c r="AI90" s="106"/>
      <c r="AJ90" s="523"/>
      <c r="AK90" s="224">
        <f t="shared" si="28"/>
        <v>365092.8</v>
      </c>
    </row>
    <row r="91" spans="1:37" ht="13.5" customHeight="1" x14ac:dyDescent="0.25">
      <c r="A91" s="494"/>
      <c r="B91" s="603" t="s">
        <v>651</v>
      </c>
      <c r="C91" s="604"/>
      <c r="D91" s="604"/>
      <c r="E91" s="511"/>
      <c r="F91" s="498"/>
      <c r="G91" s="506"/>
      <c r="H91" s="500">
        <f t="shared" si="34"/>
        <v>0</v>
      </c>
      <c r="I91" s="106"/>
      <c r="J91" s="523"/>
      <c r="K91" s="224">
        <f t="shared" si="40"/>
        <v>0</v>
      </c>
      <c r="L91" s="511"/>
      <c r="M91" s="498"/>
      <c r="N91" s="506"/>
      <c r="O91" s="512"/>
      <c r="P91" s="512"/>
      <c r="Q91" s="523"/>
      <c r="R91" s="512"/>
      <c r="S91" s="224">
        <f t="shared" si="26"/>
        <v>0</v>
      </c>
      <c r="T91" s="224">
        <f t="shared" si="33"/>
        <v>0</v>
      </c>
      <c r="U91" s="224">
        <f t="shared" si="33"/>
        <v>0</v>
      </c>
      <c r="V91" s="224">
        <f t="shared" si="33"/>
        <v>0</v>
      </c>
      <c r="W91" s="224">
        <f t="shared" si="29"/>
        <v>0</v>
      </c>
      <c r="X91" s="511"/>
      <c r="Y91" s="498"/>
      <c r="Z91" s="506"/>
      <c r="AA91" s="500">
        <f t="shared" si="35"/>
        <v>0</v>
      </c>
      <c r="AB91" s="106"/>
      <c r="AC91" s="523"/>
      <c r="AD91" s="224">
        <f t="shared" si="27"/>
        <v>0</v>
      </c>
      <c r="AE91" s="511"/>
      <c r="AF91" s="498"/>
      <c r="AG91" s="506"/>
      <c r="AH91" s="500">
        <f t="shared" si="36"/>
        <v>0</v>
      </c>
      <c r="AI91" s="106"/>
      <c r="AJ91" s="523"/>
      <c r="AK91" s="224">
        <f t="shared" si="28"/>
        <v>0</v>
      </c>
    </row>
    <row r="92" spans="1:37" x14ac:dyDescent="0.25">
      <c r="A92" s="494">
        <v>53</v>
      </c>
      <c r="B92" s="498" t="s">
        <v>652</v>
      </c>
      <c r="C92" s="498" t="s">
        <v>481</v>
      </c>
      <c r="D92" s="501" t="s">
        <v>653</v>
      </c>
      <c r="E92" s="511">
        <v>1</v>
      </c>
      <c r="F92" s="501"/>
      <c r="G92" s="506">
        <v>3.88</v>
      </c>
      <c r="H92" s="500">
        <f t="shared" si="34"/>
        <v>256623.19999999998</v>
      </c>
      <c r="I92" s="106"/>
      <c r="J92" s="523"/>
      <c r="K92" s="224">
        <f t="shared" si="40"/>
        <v>256623.19999999998</v>
      </c>
      <c r="L92" s="511">
        <v>1</v>
      </c>
      <c r="M92" s="501"/>
      <c r="N92" s="506">
        <v>3.88</v>
      </c>
      <c r="O92" s="512">
        <f>N92*66140</f>
        <v>256623.19999999998</v>
      </c>
      <c r="P92" s="512"/>
      <c r="Q92" s="523"/>
      <c r="R92" s="512">
        <f>O92+P92+Q92</f>
        <v>256623.19999999998</v>
      </c>
      <c r="S92" s="224">
        <f t="shared" si="26"/>
        <v>0</v>
      </c>
      <c r="T92" s="224">
        <f t="shared" si="33"/>
        <v>0</v>
      </c>
      <c r="U92" s="224">
        <f t="shared" si="33"/>
        <v>0</v>
      </c>
      <c r="V92" s="224">
        <f t="shared" si="33"/>
        <v>0</v>
      </c>
      <c r="W92" s="224">
        <f t="shared" si="29"/>
        <v>0</v>
      </c>
      <c r="X92" s="511">
        <v>1</v>
      </c>
      <c r="Y92" s="501"/>
      <c r="Z92" s="506">
        <v>3.88</v>
      </c>
      <c r="AA92" s="500">
        <f t="shared" si="35"/>
        <v>256623.19999999998</v>
      </c>
      <c r="AB92" s="106"/>
      <c r="AC92" s="523"/>
      <c r="AD92" s="224">
        <f t="shared" si="27"/>
        <v>256623.19999999998</v>
      </c>
      <c r="AE92" s="511">
        <v>1</v>
      </c>
      <c r="AF92" s="501"/>
      <c r="AG92" s="506">
        <v>3.88</v>
      </c>
      <c r="AH92" s="500">
        <f t="shared" si="36"/>
        <v>256623.19999999998</v>
      </c>
      <c r="AI92" s="106"/>
      <c r="AJ92" s="523"/>
      <c r="AK92" s="224">
        <f t="shared" si="28"/>
        <v>256623.19999999998</v>
      </c>
    </row>
    <row r="93" spans="1:37" ht="25.5" x14ac:dyDescent="0.25">
      <c r="A93" s="494">
        <v>54</v>
      </c>
      <c r="B93" s="498" t="s">
        <v>654</v>
      </c>
      <c r="C93" s="498" t="s">
        <v>536</v>
      </c>
      <c r="D93" s="501" t="s">
        <v>655</v>
      </c>
      <c r="E93" s="511">
        <v>1</v>
      </c>
      <c r="F93" s="501" t="s">
        <v>657</v>
      </c>
      <c r="G93" s="506">
        <v>4.01</v>
      </c>
      <c r="H93" s="500">
        <f t="shared" si="34"/>
        <v>265221.39999999997</v>
      </c>
      <c r="I93" s="106"/>
      <c r="J93" s="523">
        <f>H93*0.05</f>
        <v>13261.07</v>
      </c>
      <c r="K93" s="224">
        <f t="shared" si="40"/>
        <v>278482.46999999997</v>
      </c>
      <c r="L93" s="511">
        <v>1</v>
      </c>
      <c r="M93" s="501" t="s">
        <v>656</v>
      </c>
      <c r="N93" s="506">
        <v>4.01</v>
      </c>
      <c r="O93" s="512">
        <f>N93*66140</f>
        <v>265221.39999999997</v>
      </c>
      <c r="P93" s="512"/>
      <c r="Q93" s="523">
        <f>O93*0.05</f>
        <v>13261.07</v>
      </c>
      <c r="R93" s="512">
        <f>O93+P93+Q93</f>
        <v>278482.46999999997</v>
      </c>
      <c r="S93" s="224">
        <f t="shared" si="26"/>
        <v>0</v>
      </c>
      <c r="T93" s="224">
        <f t="shared" si="33"/>
        <v>0</v>
      </c>
      <c r="U93" s="224">
        <f t="shared" si="33"/>
        <v>0</v>
      </c>
      <c r="V93" s="224">
        <f t="shared" si="33"/>
        <v>0</v>
      </c>
      <c r="W93" s="224">
        <f t="shared" si="29"/>
        <v>0</v>
      </c>
      <c r="X93" s="511">
        <v>1</v>
      </c>
      <c r="Y93" s="501" t="s">
        <v>658</v>
      </c>
      <c r="Z93" s="506">
        <v>4.01</v>
      </c>
      <c r="AA93" s="500">
        <f t="shared" si="35"/>
        <v>265221.39999999997</v>
      </c>
      <c r="AB93" s="106"/>
      <c r="AC93" s="523">
        <f>AA93*0.05</f>
        <v>13261.07</v>
      </c>
      <c r="AD93" s="224">
        <f t="shared" si="27"/>
        <v>278482.46999999997</v>
      </c>
      <c r="AE93" s="511">
        <v>1</v>
      </c>
      <c r="AF93" s="501" t="s">
        <v>1026</v>
      </c>
      <c r="AG93" s="506">
        <v>4.13</v>
      </c>
      <c r="AH93" s="500">
        <f t="shared" si="36"/>
        <v>273158.2</v>
      </c>
      <c r="AI93" s="106"/>
      <c r="AJ93" s="523">
        <f>AH93*0.05</f>
        <v>13657.910000000002</v>
      </c>
      <c r="AK93" s="224">
        <f t="shared" si="28"/>
        <v>286816.11</v>
      </c>
    </row>
    <row r="94" spans="1:37" ht="25.5" x14ac:dyDescent="0.25">
      <c r="A94" s="494">
        <v>55</v>
      </c>
      <c r="B94" s="523" t="s">
        <v>659</v>
      </c>
      <c r="C94" s="498" t="s">
        <v>491</v>
      </c>
      <c r="D94" s="501" t="s">
        <v>660</v>
      </c>
      <c r="E94" s="511">
        <v>1</v>
      </c>
      <c r="F94" s="501" t="s">
        <v>662</v>
      </c>
      <c r="G94" s="506">
        <v>2.92</v>
      </c>
      <c r="H94" s="500">
        <f t="shared" si="34"/>
        <v>193128.8</v>
      </c>
      <c r="I94" s="106"/>
      <c r="J94" s="523">
        <f>H94*0.05</f>
        <v>9656.44</v>
      </c>
      <c r="K94" s="224">
        <f t="shared" si="40"/>
        <v>202785.24</v>
      </c>
      <c r="L94" s="511">
        <v>1</v>
      </c>
      <c r="M94" s="501" t="s">
        <v>661</v>
      </c>
      <c r="N94" s="506">
        <v>2.83</v>
      </c>
      <c r="O94" s="512">
        <f>N94*66140</f>
        <v>187176.2</v>
      </c>
      <c r="P94" s="512"/>
      <c r="Q94" s="523">
        <f>O94*0.05</f>
        <v>9358.8100000000013</v>
      </c>
      <c r="R94" s="512">
        <f>O94+P94+Q94</f>
        <v>196535.01</v>
      </c>
      <c r="S94" s="224">
        <f t="shared" si="26"/>
        <v>0</v>
      </c>
      <c r="T94" s="224">
        <f t="shared" si="33"/>
        <v>5952.5999999999767</v>
      </c>
      <c r="U94" s="224">
        <f t="shared" si="33"/>
        <v>0</v>
      </c>
      <c r="V94" s="224">
        <f t="shared" si="33"/>
        <v>297.6299999999992</v>
      </c>
      <c r="W94" s="224">
        <f t="shared" si="29"/>
        <v>6250.2299999999759</v>
      </c>
      <c r="X94" s="511">
        <v>1</v>
      </c>
      <c r="Y94" s="501" t="s">
        <v>663</v>
      </c>
      <c r="Z94" s="506">
        <v>2.92</v>
      </c>
      <c r="AA94" s="500">
        <f t="shared" si="35"/>
        <v>193128.8</v>
      </c>
      <c r="AB94" s="106"/>
      <c r="AC94" s="523">
        <f>AA94*0.05</f>
        <v>9656.44</v>
      </c>
      <c r="AD94" s="224">
        <f t="shared" si="27"/>
        <v>202785.24</v>
      </c>
      <c r="AE94" s="511">
        <v>1</v>
      </c>
      <c r="AF94" s="501" t="s">
        <v>1027</v>
      </c>
      <c r="AG94" s="506">
        <v>3.01</v>
      </c>
      <c r="AH94" s="500">
        <f t="shared" si="36"/>
        <v>199081.4</v>
      </c>
      <c r="AI94" s="106"/>
      <c r="AJ94" s="523">
        <f>AH94*0.05</f>
        <v>9954.07</v>
      </c>
      <c r="AK94" s="224">
        <f t="shared" si="28"/>
        <v>209035.47</v>
      </c>
    </row>
    <row r="95" spans="1:37" ht="13.5" customHeight="1" x14ac:dyDescent="0.25">
      <c r="A95" s="494"/>
      <c r="B95" s="603" t="s">
        <v>664</v>
      </c>
      <c r="C95" s="603"/>
      <c r="D95" s="603"/>
      <c r="E95" s="511"/>
      <c r="F95" s="498"/>
      <c r="G95" s="506"/>
      <c r="H95" s="500">
        <f t="shared" si="34"/>
        <v>0</v>
      </c>
      <c r="I95" s="106"/>
      <c r="J95" s="523"/>
      <c r="K95" s="224">
        <f t="shared" si="40"/>
        <v>0</v>
      </c>
      <c r="L95" s="511"/>
      <c r="M95" s="498"/>
      <c r="N95" s="506"/>
      <c r="O95" s="512"/>
      <c r="P95" s="512"/>
      <c r="Q95" s="523"/>
      <c r="R95" s="512"/>
      <c r="S95" s="224">
        <f t="shared" si="26"/>
        <v>0</v>
      </c>
      <c r="T95" s="224">
        <f t="shared" si="33"/>
        <v>0</v>
      </c>
      <c r="U95" s="224">
        <f t="shared" si="33"/>
        <v>0</v>
      </c>
      <c r="V95" s="224">
        <f t="shared" si="33"/>
        <v>0</v>
      </c>
      <c r="W95" s="224">
        <f t="shared" si="29"/>
        <v>0</v>
      </c>
      <c r="X95" s="511"/>
      <c r="Y95" s="498"/>
      <c r="Z95" s="506"/>
      <c r="AA95" s="500">
        <f t="shared" si="35"/>
        <v>0</v>
      </c>
      <c r="AB95" s="106"/>
      <c r="AC95" s="523"/>
      <c r="AD95" s="224">
        <f t="shared" si="27"/>
        <v>0</v>
      </c>
      <c r="AE95" s="511"/>
      <c r="AF95" s="498"/>
      <c r="AG95" s="506"/>
      <c r="AH95" s="500">
        <f t="shared" si="36"/>
        <v>0</v>
      </c>
      <c r="AI95" s="106"/>
      <c r="AJ95" s="523"/>
      <c r="AK95" s="224">
        <f t="shared" si="28"/>
        <v>0</v>
      </c>
    </row>
    <row r="96" spans="1:37" ht="25.5" x14ac:dyDescent="0.25">
      <c r="A96" s="494">
        <v>56</v>
      </c>
      <c r="B96" s="498" t="s">
        <v>665</v>
      </c>
      <c r="C96" s="498" t="s">
        <v>481</v>
      </c>
      <c r="D96" s="501" t="s">
        <v>666</v>
      </c>
      <c r="E96" s="511">
        <v>1</v>
      </c>
      <c r="F96" s="501" t="s">
        <v>488</v>
      </c>
      <c r="G96" s="506">
        <v>4.8499999999999996</v>
      </c>
      <c r="H96" s="500">
        <f t="shared" si="34"/>
        <v>320779</v>
      </c>
      <c r="I96" s="106"/>
      <c r="J96" s="523">
        <f>H96*0.05</f>
        <v>16038.95</v>
      </c>
      <c r="K96" s="224">
        <f t="shared" si="40"/>
        <v>336817.95</v>
      </c>
      <c r="L96" s="511">
        <v>1</v>
      </c>
      <c r="M96" s="501" t="s">
        <v>487</v>
      </c>
      <c r="N96" s="506">
        <v>4.7</v>
      </c>
      <c r="O96" s="512">
        <f>N96*66140</f>
        <v>310858</v>
      </c>
      <c r="P96" s="512"/>
      <c r="Q96" s="523">
        <f>O96*0.05</f>
        <v>15542.900000000001</v>
      </c>
      <c r="R96" s="512">
        <f>O96+P96+Q96</f>
        <v>326400.90000000002</v>
      </c>
      <c r="S96" s="224">
        <f t="shared" si="26"/>
        <v>0</v>
      </c>
      <c r="T96" s="224">
        <f t="shared" si="33"/>
        <v>9921</v>
      </c>
      <c r="U96" s="224">
        <f t="shared" si="33"/>
        <v>0</v>
      </c>
      <c r="V96" s="224">
        <f t="shared" si="33"/>
        <v>496.04999999999927</v>
      </c>
      <c r="W96" s="224">
        <f t="shared" si="29"/>
        <v>10417.049999999999</v>
      </c>
      <c r="X96" s="511">
        <v>1</v>
      </c>
      <c r="Y96" s="501" t="s">
        <v>489</v>
      </c>
      <c r="Z96" s="506">
        <v>4.8499999999999996</v>
      </c>
      <c r="AA96" s="500">
        <f t="shared" si="35"/>
        <v>320779</v>
      </c>
      <c r="AB96" s="106"/>
      <c r="AC96" s="523">
        <f>AA96*0.05</f>
        <v>16038.95</v>
      </c>
      <c r="AD96" s="224">
        <f t="shared" si="27"/>
        <v>336817.95</v>
      </c>
      <c r="AE96" s="511">
        <v>1</v>
      </c>
      <c r="AF96" s="501" t="s">
        <v>999</v>
      </c>
      <c r="AG96" s="506">
        <v>4.8499999999999996</v>
      </c>
      <c r="AH96" s="500">
        <f t="shared" si="36"/>
        <v>320779</v>
      </c>
      <c r="AI96" s="106"/>
      <c r="AJ96" s="523">
        <f>AH96*0.05</f>
        <v>16038.95</v>
      </c>
      <c r="AK96" s="224">
        <f t="shared" si="28"/>
        <v>336817.95</v>
      </c>
    </row>
    <row r="97" spans="1:37" ht="25.5" x14ac:dyDescent="0.25">
      <c r="A97" s="494">
        <v>57</v>
      </c>
      <c r="B97" s="498" t="s">
        <v>667</v>
      </c>
      <c r="C97" s="498" t="s">
        <v>491</v>
      </c>
      <c r="D97" s="501" t="s">
        <v>668</v>
      </c>
      <c r="E97" s="511">
        <v>1</v>
      </c>
      <c r="F97" s="501" t="s">
        <v>670</v>
      </c>
      <c r="G97" s="506">
        <v>2.83</v>
      </c>
      <c r="H97" s="500">
        <f t="shared" si="34"/>
        <v>187176.2</v>
      </c>
      <c r="I97" s="106"/>
      <c r="J97" s="523">
        <f>H97*0.05</f>
        <v>9358.8100000000013</v>
      </c>
      <c r="K97" s="224">
        <f t="shared" si="40"/>
        <v>196535.01</v>
      </c>
      <c r="L97" s="511">
        <v>1</v>
      </c>
      <c r="M97" s="501" t="s">
        <v>669</v>
      </c>
      <c r="N97" s="506">
        <v>2.83</v>
      </c>
      <c r="O97" s="512">
        <f>N97*66140</f>
        <v>187176.2</v>
      </c>
      <c r="P97" s="512"/>
      <c r="Q97" s="523">
        <f>O97*0.05</f>
        <v>9358.8100000000013</v>
      </c>
      <c r="R97" s="512">
        <f>O97+P97+Q97</f>
        <v>196535.01</v>
      </c>
      <c r="S97" s="224">
        <f t="shared" si="26"/>
        <v>0</v>
      </c>
      <c r="T97" s="224">
        <f t="shared" si="33"/>
        <v>0</v>
      </c>
      <c r="U97" s="224">
        <f t="shared" si="33"/>
        <v>0</v>
      </c>
      <c r="V97" s="224">
        <f t="shared" si="33"/>
        <v>0</v>
      </c>
      <c r="W97" s="224">
        <f t="shared" si="29"/>
        <v>0</v>
      </c>
      <c r="X97" s="511">
        <v>1</v>
      </c>
      <c r="Y97" s="501" t="s">
        <v>671</v>
      </c>
      <c r="Z97" s="506">
        <v>2.83</v>
      </c>
      <c r="AA97" s="500">
        <f t="shared" si="35"/>
        <v>187176.2</v>
      </c>
      <c r="AB97" s="106"/>
      <c r="AC97" s="523">
        <f>AA97*0.05</f>
        <v>9358.8100000000013</v>
      </c>
      <c r="AD97" s="224">
        <f t="shared" si="27"/>
        <v>196535.01</v>
      </c>
      <c r="AE97" s="511">
        <v>1</v>
      </c>
      <c r="AF97" s="501" t="s">
        <v>671</v>
      </c>
      <c r="AG97" s="506">
        <v>2.83</v>
      </c>
      <c r="AH97" s="500">
        <f t="shared" si="36"/>
        <v>187176.2</v>
      </c>
      <c r="AI97" s="106"/>
      <c r="AJ97" s="523">
        <f>AH97*0.05</f>
        <v>9358.8100000000013</v>
      </c>
      <c r="AK97" s="224">
        <f t="shared" si="28"/>
        <v>196535.01</v>
      </c>
    </row>
    <row r="98" spans="1:37" ht="25.5" x14ac:dyDescent="0.25">
      <c r="A98" s="494">
        <v>58</v>
      </c>
      <c r="B98" s="498" t="s">
        <v>672</v>
      </c>
      <c r="C98" s="501" t="s">
        <v>497</v>
      </c>
      <c r="D98" s="501" t="s">
        <v>673</v>
      </c>
      <c r="E98" s="511">
        <v>1</v>
      </c>
      <c r="F98" s="501" t="s">
        <v>675</v>
      </c>
      <c r="G98" s="506">
        <v>2.08</v>
      </c>
      <c r="H98" s="500">
        <f t="shared" si="34"/>
        <v>137571.20000000001</v>
      </c>
      <c r="I98" s="106"/>
      <c r="J98" s="523">
        <f>H98*0.05</f>
        <v>6878.5600000000013</v>
      </c>
      <c r="K98" s="224">
        <f t="shared" si="40"/>
        <v>144449.76</v>
      </c>
      <c r="L98" s="511">
        <v>1</v>
      </c>
      <c r="M98" s="501" t="s">
        <v>674</v>
      </c>
      <c r="N98" s="506">
        <v>2.08</v>
      </c>
      <c r="O98" s="512">
        <f>N98*66140</f>
        <v>137571.20000000001</v>
      </c>
      <c r="P98" s="512"/>
      <c r="Q98" s="523">
        <f>O98*0.05</f>
        <v>6878.5600000000013</v>
      </c>
      <c r="R98" s="512">
        <f>O98+P98+Q98</f>
        <v>144449.76</v>
      </c>
      <c r="S98" s="224">
        <f t="shared" si="26"/>
        <v>0</v>
      </c>
      <c r="T98" s="224">
        <f t="shared" si="33"/>
        <v>0</v>
      </c>
      <c r="U98" s="224">
        <f t="shared" si="33"/>
        <v>0</v>
      </c>
      <c r="V98" s="224">
        <f t="shared" si="33"/>
        <v>0</v>
      </c>
      <c r="W98" s="224">
        <f t="shared" si="29"/>
        <v>0</v>
      </c>
      <c r="X98" s="511">
        <v>1</v>
      </c>
      <c r="Y98" s="501" t="s">
        <v>989</v>
      </c>
      <c r="Z98" s="506">
        <v>2.08</v>
      </c>
      <c r="AA98" s="500">
        <f t="shared" si="35"/>
        <v>137571.20000000001</v>
      </c>
      <c r="AB98" s="106"/>
      <c r="AC98" s="523">
        <f>AA98*0.05</f>
        <v>6878.5600000000013</v>
      </c>
      <c r="AD98" s="224">
        <f t="shared" si="27"/>
        <v>144449.76</v>
      </c>
      <c r="AE98" s="511">
        <v>1</v>
      </c>
      <c r="AF98" s="501" t="s">
        <v>989</v>
      </c>
      <c r="AG98" s="506">
        <v>2.08</v>
      </c>
      <c r="AH98" s="500">
        <f t="shared" si="36"/>
        <v>137571.20000000001</v>
      </c>
      <c r="AI98" s="106"/>
      <c r="AJ98" s="523">
        <f>AH98*0.05</f>
        <v>6878.5600000000013</v>
      </c>
      <c r="AK98" s="224">
        <f t="shared" si="28"/>
        <v>144449.76</v>
      </c>
    </row>
    <row r="99" spans="1:37" x14ac:dyDescent="0.25">
      <c r="A99" s="494"/>
      <c r="B99" s="518" t="s">
        <v>169</v>
      </c>
      <c r="C99" s="519" t="s">
        <v>1</v>
      </c>
      <c r="D99" s="519" t="s">
        <v>1</v>
      </c>
      <c r="E99" s="520">
        <f>SUM(E90:E98)</f>
        <v>7</v>
      </c>
      <c r="F99" s="519" t="s">
        <v>1</v>
      </c>
      <c r="G99" s="519" t="s">
        <v>1</v>
      </c>
      <c r="H99" s="520">
        <f>H90+H92+H93+H94+H96+H97+H98</f>
        <v>1714348.7999999998</v>
      </c>
      <c r="I99" s="520">
        <f>I90+I92+I93+I94+I96+I97+I98</f>
        <v>0</v>
      </c>
      <c r="J99" s="520">
        <f>J90+J92+J93+J94+J96+J97+J98</f>
        <v>55193.83</v>
      </c>
      <c r="K99" s="520">
        <f>K90+K92+K93+K94+K96+K97+K98</f>
        <v>1769542.63</v>
      </c>
      <c r="L99" s="520">
        <f>SUM(L90:L98)</f>
        <v>7</v>
      </c>
      <c r="M99" s="519" t="s">
        <v>1</v>
      </c>
      <c r="N99" s="519" t="s">
        <v>1</v>
      </c>
      <c r="O99" s="520">
        <f>SUM(O90:O98)</f>
        <v>1687231.3999999997</v>
      </c>
      <c r="P99" s="520">
        <f>SUM(P90:P98)</f>
        <v>0</v>
      </c>
      <c r="Q99" s="520">
        <f>SUM(Q90:Q98)</f>
        <v>54400.149999999994</v>
      </c>
      <c r="R99" s="520">
        <f>R90+R92+R93+R94+R96+R97+R98</f>
        <v>1741631.5499999998</v>
      </c>
      <c r="S99" s="224">
        <f t="shared" si="26"/>
        <v>0</v>
      </c>
      <c r="T99" s="224">
        <f t="shared" si="33"/>
        <v>27117.40000000014</v>
      </c>
      <c r="U99" s="224">
        <f t="shared" si="33"/>
        <v>0</v>
      </c>
      <c r="V99" s="224">
        <f t="shared" si="33"/>
        <v>793.68000000000757</v>
      </c>
      <c r="W99" s="224">
        <f t="shared" si="29"/>
        <v>27911.080000000147</v>
      </c>
      <c r="X99" s="520">
        <f>SUM(X90:X98)</f>
        <v>7</v>
      </c>
      <c r="Y99" s="519" t="s">
        <v>1</v>
      </c>
      <c r="Z99" s="519" t="s">
        <v>1</v>
      </c>
      <c r="AA99" s="520">
        <f>SUM(AA90:AA98)</f>
        <v>1714348.7999999998</v>
      </c>
      <c r="AB99" s="520">
        <f>SUM(AB90:AB98)</f>
        <v>0</v>
      </c>
      <c r="AC99" s="520">
        <f>SUM(AC90:AC98)</f>
        <v>55193.83</v>
      </c>
      <c r="AD99" s="520">
        <f>SUM(AD90:AD98)</f>
        <v>1769542.63</v>
      </c>
      <c r="AE99" s="520">
        <f>SUM(AE90:AE98)</f>
        <v>7</v>
      </c>
      <c r="AF99" s="519" t="s">
        <v>1</v>
      </c>
      <c r="AG99" s="519" t="s">
        <v>1</v>
      </c>
      <c r="AH99" s="520">
        <f>SUM(AH90:AH98)</f>
        <v>1739481.9999999998</v>
      </c>
      <c r="AI99" s="520">
        <f>SUM(AI90:AI98)</f>
        <v>0</v>
      </c>
      <c r="AJ99" s="520">
        <f>SUM(AJ90:AJ98)</f>
        <v>55888.3</v>
      </c>
      <c r="AK99" s="520">
        <f>SUM(AK90:AK98)</f>
        <v>1795370.3</v>
      </c>
    </row>
    <row r="100" spans="1:37" x14ac:dyDescent="0.25">
      <c r="A100" s="494"/>
      <c r="B100" s="601" t="s">
        <v>157</v>
      </c>
      <c r="C100" s="601"/>
      <c r="D100" s="601"/>
      <c r="E100" s="511"/>
      <c r="F100" s="498"/>
      <c r="G100" s="506"/>
      <c r="H100" s="500">
        <f t="shared" si="34"/>
        <v>0</v>
      </c>
      <c r="I100" s="106"/>
      <c r="J100" s="523"/>
      <c r="K100" s="224">
        <f t="shared" si="40"/>
        <v>0</v>
      </c>
      <c r="L100" s="511"/>
      <c r="M100" s="498"/>
      <c r="N100" s="506"/>
      <c r="O100" s="512"/>
      <c r="P100" s="512"/>
      <c r="Q100" s="523"/>
      <c r="R100" s="512"/>
      <c r="S100" s="224">
        <f t="shared" si="26"/>
        <v>0</v>
      </c>
      <c r="T100" s="224">
        <f t="shared" si="33"/>
        <v>0</v>
      </c>
      <c r="U100" s="224">
        <f t="shared" si="33"/>
        <v>0</v>
      </c>
      <c r="V100" s="224">
        <f t="shared" si="33"/>
        <v>0</v>
      </c>
      <c r="W100" s="224">
        <f t="shared" si="29"/>
        <v>0</v>
      </c>
      <c r="X100" s="511"/>
      <c r="Y100" s="498"/>
      <c r="Z100" s="506"/>
      <c r="AA100" s="500">
        <f t="shared" si="35"/>
        <v>0</v>
      </c>
      <c r="AB100" s="106"/>
      <c r="AC100" s="523"/>
      <c r="AD100" s="224">
        <f t="shared" si="27"/>
        <v>0</v>
      </c>
      <c r="AE100" s="511"/>
      <c r="AF100" s="498"/>
      <c r="AG100" s="506"/>
      <c r="AH100" s="500">
        <f t="shared" si="36"/>
        <v>0</v>
      </c>
      <c r="AI100" s="106"/>
      <c r="AJ100" s="523"/>
      <c r="AK100" s="224">
        <f t="shared" si="28"/>
        <v>0</v>
      </c>
    </row>
    <row r="101" spans="1:37" ht="25.5" x14ac:dyDescent="0.25">
      <c r="A101" s="494">
        <v>59</v>
      </c>
      <c r="B101" s="498" t="s">
        <v>676</v>
      </c>
      <c r="C101" s="498" t="s">
        <v>677</v>
      </c>
      <c r="D101" s="501" t="s">
        <v>678</v>
      </c>
      <c r="E101" s="511">
        <v>1</v>
      </c>
      <c r="F101" s="501" t="s">
        <v>680</v>
      </c>
      <c r="G101" s="506">
        <v>5.01</v>
      </c>
      <c r="H101" s="500">
        <f t="shared" si="34"/>
        <v>331361.39999999997</v>
      </c>
      <c r="I101" s="106"/>
      <c r="J101" s="523"/>
      <c r="K101" s="224">
        <f t="shared" si="40"/>
        <v>331361.39999999997</v>
      </c>
      <c r="L101" s="511">
        <v>1</v>
      </c>
      <c r="M101" s="501" t="s">
        <v>679</v>
      </c>
      <c r="N101" s="506">
        <v>4.8600000000000003</v>
      </c>
      <c r="O101" s="512">
        <f>N101*66140</f>
        <v>321440.40000000002</v>
      </c>
      <c r="P101" s="512"/>
      <c r="Q101" s="523"/>
      <c r="R101" s="512">
        <f>O101+P101+Q101</f>
        <v>321440.40000000002</v>
      </c>
      <c r="S101" s="224">
        <f t="shared" si="26"/>
        <v>0</v>
      </c>
      <c r="T101" s="224">
        <f t="shared" si="33"/>
        <v>9920.9999999999418</v>
      </c>
      <c r="U101" s="224">
        <f t="shared" si="33"/>
        <v>0</v>
      </c>
      <c r="V101" s="224">
        <f t="shared" si="33"/>
        <v>0</v>
      </c>
      <c r="W101" s="224">
        <f t="shared" si="29"/>
        <v>9920.9999999999418</v>
      </c>
      <c r="X101" s="511">
        <v>1</v>
      </c>
      <c r="Y101" s="501" t="s">
        <v>681</v>
      </c>
      <c r="Z101" s="506">
        <v>5.18</v>
      </c>
      <c r="AA101" s="500">
        <f t="shared" si="35"/>
        <v>342605.19999999995</v>
      </c>
      <c r="AB101" s="106"/>
      <c r="AC101" s="523"/>
      <c r="AD101" s="224">
        <f t="shared" si="27"/>
        <v>342605.19999999995</v>
      </c>
      <c r="AE101" s="511">
        <v>1</v>
      </c>
      <c r="AF101" s="501" t="s">
        <v>1028</v>
      </c>
      <c r="AG101" s="506">
        <v>5.18</v>
      </c>
      <c r="AH101" s="500">
        <f t="shared" si="36"/>
        <v>342605.19999999995</v>
      </c>
      <c r="AI101" s="106"/>
      <c r="AJ101" s="523"/>
      <c r="AK101" s="224">
        <f t="shared" si="28"/>
        <v>342605.19999999995</v>
      </c>
    </row>
    <row r="102" spans="1:37" x14ac:dyDescent="0.25">
      <c r="A102" s="494"/>
      <c r="B102" s="603" t="s">
        <v>682</v>
      </c>
      <c r="C102" s="603"/>
      <c r="D102" s="603"/>
      <c r="E102" s="511"/>
      <c r="F102" s="498"/>
      <c r="G102" s="506"/>
      <c r="H102" s="500">
        <f t="shared" si="34"/>
        <v>0</v>
      </c>
      <c r="I102" s="106"/>
      <c r="J102" s="523"/>
      <c r="K102" s="224">
        <f t="shared" si="40"/>
        <v>0</v>
      </c>
      <c r="L102" s="511"/>
      <c r="M102" s="498"/>
      <c r="N102" s="506"/>
      <c r="O102" s="512"/>
      <c r="P102" s="512"/>
      <c r="Q102" s="523"/>
      <c r="R102" s="512"/>
      <c r="S102" s="224">
        <f t="shared" si="26"/>
        <v>0</v>
      </c>
      <c r="T102" s="224">
        <f t="shared" si="33"/>
        <v>0</v>
      </c>
      <c r="U102" s="224">
        <f t="shared" si="33"/>
        <v>0</v>
      </c>
      <c r="V102" s="224">
        <f t="shared" si="33"/>
        <v>0</v>
      </c>
      <c r="W102" s="224">
        <f t="shared" si="29"/>
        <v>0</v>
      </c>
      <c r="X102" s="511"/>
      <c r="Y102" s="498"/>
      <c r="Z102" s="506"/>
      <c r="AA102" s="500">
        <f t="shared" si="35"/>
        <v>0</v>
      </c>
      <c r="AB102" s="106"/>
      <c r="AC102" s="523"/>
      <c r="AD102" s="224">
        <f t="shared" si="27"/>
        <v>0</v>
      </c>
      <c r="AE102" s="511"/>
      <c r="AF102" s="498"/>
      <c r="AG102" s="506"/>
      <c r="AH102" s="500">
        <f t="shared" si="36"/>
        <v>0</v>
      </c>
      <c r="AI102" s="106"/>
      <c r="AJ102" s="523"/>
      <c r="AK102" s="224">
        <f t="shared" si="28"/>
        <v>0</v>
      </c>
    </row>
    <row r="103" spans="1:37" ht="25.5" x14ac:dyDescent="0.25">
      <c r="A103" s="494">
        <v>60</v>
      </c>
      <c r="B103" s="498" t="s">
        <v>683</v>
      </c>
      <c r="C103" s="498" t="s">
        <v>481</v>
      </c>
      <c r="D103" s="501" t="s">
        <v>684</v>
      </c>
      <c r="E103" s="511">
        <v>1</v>
      </c>
      <c r="F103" s="501" t="s">
        <v>488</v>
      </c>
      <c r="G103" s="506">
        <v>4.8499999999999996</v>
      </c>
      <c r="H103" s="500">
        <f t="shared" si="34"/>
        <v>320779</v>
      </c>
      <c r="I103" s="106"/>
      <c r="J103" s="523">
        <f>H103*0.05</f>
        <v>16038.95</v>
      </c>
      <c r="K103" s="224">
        <f t="shared" si="40"/>
        <v>336817.95</v>
      </c>
      <c r="L103" s="511">
        <v>1</v>
      </c>
      <c r="M103" s="501" t="s">
        <v>487</v>
      </c>
      <c r="N103" s="506">
        <v>4.7</v>
      </c>
      <c r="O103" s="512">
        <f>N103*66140</f>
        <v>310858</v>
      </c>
      <c r="P103" s="512"/>
      <c r="Q103" s="523">
        <f>O103*0.05</f>
        <v>15542.900000000001</v>
      </c>
      <c r="R103" s="512">
        <f>O103+P103+Q103</f>
        <v>326400.90000000002</v>
      </c>
      <c r="S103" s="224">
        <f t="shared" si="26"/>
        <v>0</v>
      </c>
      <c r="T103" s="224">
        <f t="shared" si="33"/>
        <v>9921</v>
      </c>
      <c r="U103" s="224">
        <f t="shared" si="33"/>
        <v>0</v>
      </c>
      <c r="V103" s="224">
        <f t="shared" si="33"/>
        <v>496.04999999999927</v>
      </c>
      <c r="W103" s="224">
        <f t="shared" si="29"/>
        <v>10417.049999999999</v>
      </c>
      <c r="X103" s="511">
        <v>1</v>
      </c>
      <c r="Y103" s="501" t="s">
        <v>489</v>
      </c>
      <c r="Z103" s="506">
        <v>4.8499999999999996</v>
      </c>
      <c r="AA103" s="500">
        <f t="shared" si="35"/>
        <v>320779</v>
      </c>
      <c r="AB103" s="106"/>
      <c r="AC103" s="523">
        <f>AA103*0.05</f>
        <v>16038.95</v>
      </c>
      <c r="AD103" s="224">
        <f t="shared" si="27"/>
        <v>336817.95</v>
      </c>
      <c r="AE103" s="511">
        <v>1</v>
      </c>
      <c r="AF103" s="501" t="s">
        <v>999</v>
      </c>
      <c r="AG103" s="506">
        <v>4.8499999999999996</v>
      </c>
      <c r="AH103" s="500">
        <f t="shared" si="36"/>
        <v>320779</v>
      </c>
      <c r="AI103" s="106"/>
      <c r="AJ103" s="523">
        <f>AH103*0.05</f>
        <v>16038.95</v>
      </c>
      <c r="AK103" s="224">
        <f t="shared" si="28"/>
        <v>336817.95</v>
      </c>
    </row>
    <row r="104" spans="1:37" ht="25.5" x14ac:dyDescent="0.25">
      <c r="A104" s="494">
        <v>61</v>
      </c>
      <c r="B104" s="498" t="s">
        <v>685</v>
      </c>
      <c r="C104" s="498" t="s">
        <v>536</v>
      </c>
      <c r="D104" s="501" t="s">
        <v>686</v>
      </c>
      <c r="E104" s="511">
        <v>1</v>
      </c>
      <c r="F104" s="501" t="s">
        <v>688</v>
      </c>
      <c r="G104" s="506">
        <v>4.01</v>
      </c>
      <c r="H104" s="500">
        <f t="shared" si="34"/>
        <v>265221.39999999997</v>
      </c>
      <c r="I104" s="106"/>
      <c r="J104" s="523">
        <f>H104*0.05</f>
        <v>13261.07</v>
      </c>
      <c r="K104" s="224">
        <f t="shared" si="40"/>
        <v>278482.46999999997</v>
      </c>
      <c r="L104" s="511">
        <v>1</v>
      </c>
      <c r="M104" s="501" t="s">
        <v>687</v>
      </c>
      <c r="N104" s="506">
        <v>4.01</v>
      </c>
      <c r="O104" s="512">
        <f>N104*66140</f>
        <v>265221.39999999997</v>
      </c>
      <c r="P104" s="512"/>
      <c r="Q104" s="523">
        <f>O104*0.05</f>
        <v>13261.07</v>
      </c>
      <c r="R104" s="512">
        <f>O104+P104+Q104</f>
        <v>278482.46999999997</v>
      </c>
      <c r="S104" s="224">
        <f t="shared" si="26"/>
        <v>0</v>
      </c>
      <c r="T104" s="224">
        <f t="shared" si="33"/>
        <v>0</v>
      </c>
      <c r="U104" s="224">
        <f t="shared" si="33"/>
        <v>0</v>
      </c>
      <c r="V104" s="224">
        <f t="shared" si="33"/>
        <v>0</v>
      </c>
      <c r="W104" s="224">
        <f t="shared" si="29"/>
        <v>0</v>
      </c>
      <c r="X104" s="511">
        <v>1</v>
      </c>
      <c r="Y104" s="501" t="s">
        <v>689</v>
      </c>
      <c r="Z104" s="506">
        <v>4.01</v>
      </c>
      <c r="AA104" s="500">
        <f t="shared" si="35"/>
        <v>265221.39999999997</v>
      </c>
      <c r="AB104" s="106"/>
      <c r="AC104" s="523">
        <f>AA104*0.05</f>
        <v>13261.07</v>
      </c>
      <c r="AD104" s="224">
        <f t="shared" si="27"/>
        <v>278482.46999999997</v>
      </c>
      <c r="AE104" s="511">
        <v>1</v>
      </c>
      <c r="AF104" s="501" t="s">
        <v>1029</v>
      </c>
      <c r="AG104" s="506">
        <v>4.13</v>
      </c>
      <c r="AH104" s="500">
        <f t="shared" si="36"/>
        <v>273158.2</v>
      </c>
      <c r="AI104" s="106"/>
      <c r="AJ104" s="523">
        <f>AH104*0.05</f>
        <v>13657.910000000002</v>
      </c>
      <c r="AK104" s="224">
        <f t="shared" si="28"/>
        <v>286816.11</v>
      </c>
    </row>
    <row r="105" spans="1:37" ht="25.5" x14ac:dyDescent="0.25">
      <c r="A105" s="494">
        <v>62</v>
      </c>
      <c r="B105" s="517" t="s">
        <v>690</v>
      </c>
      <c r="C105" s="515" t="s">
        <v>497</v>
      </c>
      <c r="D105" s="515" t="s">
        <v>691</v>
      </c>
      <c r="E105" s="513">
        <v>1</v>
      </c>
      <c r="F105" s="515" t="s">
        <v>693</v>
      </c>
      <c r="G105" s="516">
        <v>2.08</v>
      </c>
      <c r="H105" s="500">
        <f t="shared" si="34"/>
        <v>137571.20000000001</v>
      </c>
      <c r="I105" s="106"/>
      <c r="J105" s="522">
        <f>H105*0.2</f>
        <v>27514.240000000005</v>
      </c>
      <c r="K105" s="224">
        <f t="shared" si="40"/>
        <v>165085.44</v>
      </c>
      <c r="L105" s="513">
        <v>1</v>
      </c>
      <c r="M105" s="515" t="s">
        <v>692</v>
      </c>
      <c r="N105" s="516">
        <v>2.02</v>
      </c>
      <c r="O105" s="514">
        <f>N105*66140</f>
        <v>133602.79999999999</v>
      </c>
      <c r="P105" s="514"/>
      <c r="Q105" s="523">
        <f>O105*0.05</f>
        <v>6680.1399999999994</v>
      </c>
      <c r="R105" s="514">
        <f>O105+P105+Q105</f>
        <v>140282.94</v>
      </c>
      <c r="S105" s="224">
        <f t="shared" ref="S105:S168" si="41">+E105-L105</f>
        <v>0</v>
      </c>
      <c r="T105" s="224">
        <f t="shared" si="33"/>
        <v>3968.4000000000233</v>
      </c>
      <c r="U105" s="224">
        <f t="shared" si="33"/>
        <v>0</v>
      </c>
      <c r="V105" s="224">
        <f t="shared" si="33"/>
        <v>20834.100000000006</v>
      </c>
      <c r="W105" s="224">
        <f t="shared" si="29"/>
        <v>24802.500000000029</v>
      </c>
      <c r="X105" s="513">
        <v>1</v>
      </c>
      <c r="Y105" s="515" t="s">
        <v>694</v>
      </c>
      <c r="Z105" s="516">
        <v>2.08</v>
      </c>
      <c r="AA105" s="500">
        <f t="shared" si="35"/>
        <v>137571.20000000001</v>
      </c>
      <c r="AB105" s="106"/>
      <c r="AC105" s="522">
        <f>AA105*0.2</f>
        <v>27514.240000000005</v>
      </c>
      <c r="AD105" s="224">
        <f t="shared" ref="AD105:AD167" si="42">AA105+AB105+AC105</f>
        <v>165085.44</v>
      </c>
      <c r="AE105" s="513">
        <v>1</v>
      </c>
      <c r="AF105" s="515" t="s">
        <v>1030</v>
      </c>
      <c r="AG105" s="516">
        <v>2.08</v>
      </c>
      <c r="AH105" s="500">
        <f t="shared" si="36"/>
        <v>137571.20000000001</v>
      </c>
      <c r="AI105" s="106"/>
      <c r="AJ105" s="522">
        <f>AH105*0.2</f>
        <v>27514.240000000005</v>
      </c>
      <c r="AK105" s="224">
        <f t="shared" ref="AK105:AK167" si="43">AH105+AI105+AJ105</f>
        <v>165085.44</v>
      </c>
    </row>
    <row r="106" spans="1:37" x14ac:dyDescent="0.25">
      <c r="A106" s="494"/>
      <c r="B106" s="603" t="s">
        <v>695</v>
      </c>
      <c r="C106" s="603"/>
      <c r="D106" s="603"/>
      <c r="E106" s="511"/>
      <c r="F106" s="498"/>
      <c r="G106" s="506"/>
      <c r="H106" s="500">
        <f t="shared" si="34"/>
        <v>0</v>
      </c>
      <c r="I106" s="106"/>
      <c r="J106" s="523"/>
      <c r="K106" s="224">
        <f t="shared" si="40"/>
        <v>0</v>
      </c>
      <c r="L106" s="511"/>
      <c r="M106" s="498"/>
      <c r="N106" s="506"/>
      <c r="O106" s="512"/>
      <c r="P106" s="512"/>
      <c r="Q106" s="523"/>
      <c r="R106" s="512"/>
      <c r="S106" s="224">
        <f t="shared" si="41"/>
        <v>0</v>
      </c>
      <c r="T106" s="224">
        <f t="shared" si="33"/>
        <v>0</v>
      </c>
      <c r="U106" s="224">
        <f t="shared" si="33"/>
        <v>0</v>
      </c>
      <c r="V106" s="224">
        <f t="shared" si="33"/>
        <v>0</v>
      </c>
      <c r="W106" s="224">
        <f t="shared" ref="W106:W169" si="44">T106+U106+V106</f>
        <v>0</v>
      </c>
      <c r="X106" s="511"/>
      <c r="Y106" s="498"/>
      <c r="Z106" s="506"/>
      <c r="AA106" s="500">
        <f t="shared" si="35"/>
        <v>0</v>
      </c>
      <c r="AB106" s="106"/>
      <c r="AC106" s="523"/>
      <c r="AD106" s="224">
        <f t="shared" si="42"/>
        <v>0</v>
      </c>
      <c r="AE106" s="511"/>
      <c r="AF106" s="498"/>
      <c r="AG106" s="506"/>
      <c r="AH106" s="500">
        <f t="shared" si="36"/>
        <v>0</v>
      </c>
      <c r="AI106" s="106"/>
      <c r="AJ106" s="523"/>
      <c r="AK106" s="224">
        <f t="shared" si="43"/>
        <v>0</v>
      </c>
    </row>
    <row r="107" spans="1:37" ht="25.5" x14ac:dyDescent="0.25">
      <c r="A107" s="494">
        <v>63</v>
      </c>
      <c r="B107" s="498" t="s">
        <v>696</v>
      </c>
      <c r="C107" s="498" t="s">
        <v>481</v>
      </c>
      <c r="D107" s="501" t="s">
        <v>697</v>
      </c>
      <c r="E107" s="511">
        <v>1</v>
      </c>
      <c r="F107" s="501" t="s">
        <v>699</v>
      </c>
      <c r="G107" s="506">
        <v>5.34</v>
      </c>
      <c r="H107" s="500">
        <f t="shared" si="34"/>
        <v>353187.6</v>
      </c>
      <c r="I107" s="106"/>
      <c r="J107" s="523">
        <f>H107*0.05</f>
        <v>17659.38</v>
      </c>
      <c r="K107" s="224">
        <f t="shared" si="40"/>
        <v>370846.98</v>
      </c>
      <c r="L107" s="511">
        <v>1</v>
      </c>
      <c r="M107" s="501" t="s">
        <v>698</v>
      </c>
      <c r="N107" s="506">
        <v>5.34</v>
      </c>
      <c r="O107" s="512">
        <f>N107*66140</f>
        <v>353187.6</v>
      </c>
      <c r="P107" s="512"/>
      <c r="Q107" s="523">
        <f>O107*0.05</f>
        <v>17659.38</v>
      </c>
      <c r="R107" s="512">
        <f>O107+P107+Q107</f>
        <v>370846.98</v>
      </c>
      <c r="S107" s="224">
        <f t="shared" si="41"/>
        <v>0</v>
      </c>
      <c r="T107" s="224">
        <f t="shared" si="33"/>
        <v>0</v>
      </c>
      <c r="U107" s="224">
        <f t="shared" si="33"/>
        <v>0</v>
      </c>
      <c r="V107" s="224">
        <f t="shared" si="33"/>
        <v>0</v>
      </c>
      <c r="W107" s="224">
        <f t="shared" si="44"/>
        <v>0</v>
      </c>
      <c r="X107" s="511">
        <v>1</v>
      </c>
      <c r="Y107" s="501" t="s">
        <v>700</v>
      </c>
      <c r="Z107" s="506">
        <v>5.34</v>
      </c>
      <c r="AA107" s="500">
        <f t="shared" si="35"/>
        <v>353187.6</v>
      </c>
      <c r="AB107" s="106"/>
      <c r="AC107" s="523">
        <f>AA107*0.05</f>
        <v>17659.38</v>
      </c>
      <c r="AD107" s="224">
        <f t="shared" si="42"/>
        <v>370846.98</v>
      </c>
      <c r="AE107" s="511">
        <v>1</v>
      </c>
      <c r="AF107" s="501" t="s">
        <v>1031</v>
      </c>
      <c r="AG107" s="506">
        <v>5.34</v>
      </c>
      <c r="AH107" s="500">
        <f t="shared" si="36"/>
        <v>353187.6</v>
      </c>
      <c r="AI107" s="106"/>
      <c r="AJ107" s="523">
        <f>AH107*0.05</f>
        <v>17659.38</v>
      </c>
      <c r="AK107" s="224">
        <f t="shared" si="43"/>
        <v>370846.98</v>
      </c>
    </row>
    <row r="108" spans="1:37" ht="25.5" x14ac:dyDescent="0.25">
      <c r="A108" s="494">
        <v>64</v>
      </c>
      <c r="B108" s="517" t="s">
        <v>701</v>
      </c>
      <c r="C108" s="517" t="s">
        <v>536</v>
      </c>
      <c r="D108" s="515" t="s">
        <v>702</v>
      </c>
      <c r="E108" s="511">
        <v>1</v>
      </c>
      <c r="F108" s="501" t="s">
        <v>1032</v>
      </c>
      <c r="G108" s="506">
        <v>3.42</v>
      </c>
      <c r="H108" s="500">
        <f t="shared" si="34"/>
        <v>226198.8</v>
      </c>
      <c r="I108" s="106"/>
      <c r="J108" s="523"/>
      <c r="K108" s="224">
        <f t="shared" si="40"/>
        <v>226198.8</v>
      </c>
      <c r="L108" s="511">
        <v>1</v>
      </c>
      <c r="M108" s="515" t="s">
        <v>1033</v>
      </c>
      <c r="N108" s="516">
        <v>3.31</v>
      </c>
      <c r="O108" s="512">
        <f>N108*66140</f>
        <v>218923.4</v>
      </c>
      <c r="P108" s="512"/>
      <c r="Q108" s="522"/>
      <c r="R108" s="512">
        <f>O108+P108+Q108</f>
        <v>218923.4</v>
      </c>
      <c r="S108" s="224">
        <f t="shared" si="41"/>
        <v>0</v>
      </c>
      <c r="T108" s="224">
        <f t="shared" si="33"/>
        <v>7275.3999999999942</v>
      </c>
      <c r="U108" s="224">
        <f t="shared" si="33"/>
        <v>0</v>
      </c>
      <c r="V108" s="224">
        <f t="shared" si="33"/>
        <v>0</v>
      </c>
      <c r="W108" s="224">
        <f t="shared" si="44"/>
        <v>7275.3999999999942</v>
      </c>
      <c r="X108" s="511">
        <v>1</v>
      </c>
      <c r="Y108" s="515" t="s">
        <v>1034</v>
      </c>
      <c r="Z108" s="506">
        <v>3.53</v>
      </c>
      <c r="AA108" s="500">
        <f t="shared" si="35"/>
        <v>233474.19999999998</v>
      </c>
      <c r="AB108" s="106"/>
      <c r="AC108" s="523"/>
      <c r="AD108" s="224">
        <f t="shared" si="42"/>
        <v>233474.19999999998</v>
      </c>
      <c r="AE108" s="511">
        <v>1</v>
      </c>
      <c r="AF108" s="515" t="s">
        <v>1035</v>
      </c>
      <c r="AG108" s="506">
        <v>3.53</v>
      </c>
      <c r="AH108" s="500">
        <f t="shared" si="36"/>
        <v>233474.19999999998</v>
      </c>
      <c r="AI108" s="106"/>
      <c r="AJ108" s="523"/>
      <c r="AK108" s="224">
        <f t="shared" si="43"/>
        <v>233474.19999999998</v>
      </c>
    </row>
    <row r="109" spans="1:37" ht="25.5" x14ac:dyDescent="0.25">
      <c r="A109" s="494">
        <v>65</v>
      </c>
      <c r="B109" s="525" t="s">
        <v>1149</v>
      </c>
      <c r="C109" s="498" t="s">
        <v>491</v>
      </c>
      <c r="D109" s="501" t="s">
        <v>703</v>
      </c>
      <c r="E109" s="511">
        <v>1</v>
      </c>
      <c r="F109" s="501" t="s">
        <v>958</v>
      </c>
      <c r="G109" s="506">
        <v>2.4300000000000002</v>
      </c>
      <c r="H109" s="500">
        <f t="shared" si="34"/>
        <v>160720.20000000001</v>
      </c>
      <c r="I109" s="106"/>
      <c r="J109" s="523"/>
      <c r="K109" s="224">
        <f t="shared" si="40"/>
        <v>160720.20000000001</v>
      </c>
      <c r="L109" s="511">
        <v>1</v>
      </c>
      <c r="M109" s="501" t="s">
        <v>704</v>
      </c>
      <c r="N109" s="506">
        <v>2.35</v>
      </c>
      <c r="O109" s="512">
        <f>N109*66140</f>
        <v>155429</v>
      </c>
      <c r="P109" s="512"/>
      <c r="Q109" s="523"/>
      <c r="R109" s="512">
        <f>O109+P109+Q109</f>
        <v>155429</v>
      </c>
      <c r="S109" s="224">
        <f t="shared" si="41"/>
        <v>0</v>
      </c>
      <c r="T109" s="224">
        <f t="shared" si="33"/>
        <v>5291.2000000000116</v>
      </c>
      <c r="U109" s="224">
        <f t="shared" si="33"/>
        <v>0</v>
      </c>
      <c r="V109" s="224">
        <f t="shared" si="33"/>
        <v>0</v>
      </c>
      <c r="W109" s="224">
        <f t="shared" si="44"/>
        <v>5291.2000000000116</v>
      </c>
      <c r="X109" s="511">
        <v>1</v>
      </c>
      <c r="Y109" s="501" t="s">
        <v>990</v>
      </c>
      <c r="Z109" s="506">
        <v>2.5</v>
      </c>
      <c r="AA109" s="500">
        <f t="shared" si="35"/>
        <v>165350</v>
      </c>
      <c r="AB109" s="106"/>
      <c r="AC109" s="523"/>
      <c r="AD109" s="224">
        <f t="shared" si="42"/>
        <v>165350</v>
      </c>
      <c r="AE109" s="511">
        <v>1</v>
      </c>
      <c r="AF109" s="501" t="s">
        <v>1036</v>
      </c>
      <c r="AG109" s="506">
        <v>2.5</v>
      </c>
      <c r="AH109" s="500">
        <f t="shared" si="36"/>
        <v>165350</v>
      </c>
      <c r="AI109" s="106"/>
      <c r="AJ109" s="523"/>
      <c r="AK109" s="224">
        <f t="shared" si="43"/>
        <v>165350</v>
      </c>
    </row>
    <row r="110" spans="1:37" x14ac:dyDescent="0.25">
      <c r="A110" s="494"/>
      <c r="B110" s="518" t="s">
        <v>169</v>
      </c>
      <c r="C110" s="519" t="s">
        <v>1</v>
      </c>
      <c r="D110" s="519" t="s">
        <v>1</v>
      </c>
      <c r="E110" s="520">
        <f>SUM(E101:E109)</f>
        <v>7</v>
      </c>
      <c r="F110" s="519" t="s">
        <v>1</v>
      </c>
      <c r="G110" s="519" t="s">
        <v>1</v>
      </c>
      <c r="H110" s="520">
        <f>H101+H103+H104+H105+H107+H108+H109</f>
        <v>1795039.5999999996</v>
      </c>
      <c r="I110" s="520">
        <f>I101+I103+I104+I105+I107+I108+I109</f>
        <v>0</v>
      </c>
      <c r="J110" s="520">
        <f>J101+J103+J104+J105+J107+J108+J109</f>
        <v>74473.640000000014</v>
      </c>
      <c r="K110" s="520">
        <f>K101+K103+K104+K105+K107+K108+K109</f>
        <v>1869513.24</v>
      </c>
      <c r="L110" s="520">
        <f>SUM(L101:L109)</f>
        <v>7</v>
      </c>
      <c r="M110" s="519" t="s">
        <v>1</v>
      </c>
      <c r="N110" s="519" t="s">
        <v>1</v>
      </c>
      <c r="O110" s="520">
        <f>SUM(O101:O109)</f>
        <v>1758662.6</v>
      </c>
      <c r="P110" s="520">
        <f>SUM(P101:P109)</f>
        <v>0</v>
      </c>
      <c r="Q110" s="520">
        <f>SUM(Q101:Q109)</f>
        <v>53143.490000000005</v>
      </c>
      <c r="R110" s="520">
        <f>R101+R103+R104+R105+R107+R108+R109</f>
        <v>1811806.0899999999</v>
      </c>
      <c r="S110" s="224">
        <f t="shared" si="41"/>
        <v>0</v>
      </c>
      <c r="T110" s="224">
        <f t="shared" si="33"/>
        <v>36376.999999999534</v>
      </c>
      <c r="U110" s="224">
        <f t="shared" si="33"/>
        <v>0</v>
      </c>
      <c r="V110" s="224">
        <f t="shared" si="33"/>
        <v>21330.150000000009</v>
      </c>
      <c r="W110" s="224">
        <f t="shared" si="44"/>
        <v>57707.149999999543</v>
      </c>
      <c r="X110" s="520">
        <f>SUM(X101:X109)</f>
        <v>7</v>
      </c>
      <c r="Y110" s="519" t="s">
        <v>1</v>
      </c>
      <c r="Z110" s="519" t="s">
        <v>1</v>
      </c>
      <c r="AA110" s="520">
        <f>SUM(AA101:AA109)</f>
        <v>1818188.5999999999</v>
      </c>
      <c r="AB110" s="520">
        <f>SUM(AB101:AB109)</f>
        <v>0</v>
      </c>
      <c r="AC110" s="520">
        <f>SUM(AC101:AC109)</f>
        <v>74473.640000000014</v>
      </c>
      <c r="AD110" s="520">
        <f>SUM(AD101:AD109)</f>
        <v>1892662.2399999998</v>
      </c>
      <c r="AE110" s="520">
        <f>SUM(AE101:AE109)</f>
        <v>7</v>
      </c>
      <c r="AF110" s="519" t="s">
        <v>1</v>
      </c>
      <c r="AG110" s="519" t="s">
        <v>1</v>
      </c>
      <c r="AH110" s="520">
        <f>SUM(AH101:AH109)</f>
        <v>1826125.3999999997</v>
      </c>
      <c r="AI110" s="520">
        <f>SUM(AI101:AI109)</f>
        <v>0</v>
      </c>
      <c r="AJ110" s="520">
        <f>SUM(AJ101:AJ109)</f>
        <v>74870.48000000001</v>
      </c>
      <c r="AK110" s="520">
        <f>SUM(AK101:AK109)</f>
        <v>1900995.88</v>
      </c>
    </row>
    <row r="111" spans="1:37" x14ac:dyDescent="0.25">
      <c r="A111" s="494"/>
      <c r="B111" s="601" t="s">
        <v>705</v>
      </c>
      <c r="C111" s="601"/>
      <c r="D111" s="601"/>
      <c r="E111" s="511"/>
      <c r="F111" s="498"/>
      <c r="G111" s="506"/>
      <c r="H111" s="500">
        <f t="shared" si="34"/>
        <v>0</v>
      </c>
      <c r="I111" s="106"/>
      <c r="J111" s="523"/>
      <c r="K111" s="224">
        <f t="shared" si="40"/>
        <v>0</v>
      </c>
      <c r="L111" s="511"/>
      <c r="M111" s="498"/>
      <c r="N111" s="506"/>
      <c r="O111" s="512"/>
      <c r="P111" s="512"/>
      <c r="Q111" s="523"/>
      <c r="R111" s="512"/>
      <c r="S111" s="224">
        <f t="shared" si="41"/>
        <v>0</v>
      </c>
      <c r="T111" s="224">
        <f t="shared" si="33"/>
        <v>0</v>
      </c>
      <c r="U111" s="224">
        <f t="shared" si="33"/>
        <v>0</v>
      </c>
      <c r="V111" s="224">
        <f t="shared" si="33"/>
        <v>0</v>
      </c>
      <c r="W111" s="224">
        <f t="shared" si="44"/>
        <v>0</v>
      </c>
      <c r="X111" s="511"/>
      <c r="Y111" s="498"/>
      <c r="Z111" s="506"/>
      <c r="AA111" s="500">
        <f t="shared" si="35"/>
        <v>0</v>
      </c>
      <c r="AB111" s="106"/>
      <c r="AC111" s="523"/>
      <c r="AD111" s="224">
        <f t="shared" si="42"/>
        <v>0</v>
      </c>
      <c r="AE111" s="511"/>
      <c r="AF111" s="498"/>
      <c r="AG111" s="506"/>
      <c r="AH111" s="500">
        <f t="shared" si="36"/>
        <v>0</v>
      </c>
      <c r="AI111" s="106"/>
      <c r="AJ111" s="523"/>
      <c r="AK111" s="224">
        <f t="shared" si="43"/>
        <v>0</v>
      </c>
    </row>
    <row r="112" spans="1:37" ht="25.5" x14ac:dyDescent="0.25">
      <c r="A112" s="494">
        <v>66</v>
      </c>
      <c r="B112" s="498" t="s">
        <v>706</v>
      </c>
      <c r="C112" s="498" t="s">
        <v>481</v>
      </c>
      <c r="D112" s="501" t="s">
        <v>707</v>
      </c>
      <c r="E112" s="511">
        <v>1</v>
      </c>
      <c r="F112" s="501" t="s">
        <v>709</v>
      </c>
      <c r="G112" s="506">
        <v>4.41</v>
      </c>
      <c r="H112" s="500">
        <f t="shared" si="34"/>
        <v>291677.40000000002</v>
      </c>
      <c r="I112" s="106"/>
      <c r="J112" s="523"/>
      <c r="K112" s="224">
        <f t="shared" si="40"/>
        <v>291677.40000000002</v>
      </c>
      <c r="L112" s="511">
        <v>1</v>
      </c>
      <c r="M112" s="501" t="s">
        <v>708</v>
      </c>
      <c r="N112" s="506">
        <v>4.2699999999999996</v>
      </c>
      <c r="O112" s="512">
        <f>N112*66140</f>
        <v>282417.8</v>
      </c>
      <c r="P112" s="512"/>
      <c r="Q112" s="523"/>
      <c r="R112" s="512">
        <f>O112+P112+Q112</f>
        <v>282417.8</v>
      </c>
      <c r="S112" s="224">
        <f t="shared" si="41"/>
        <v>0</v>
      </c>
      <c r="T112" s="224">
        <f t="shared" si="33"/>
        <v>9259.6000000000349</v>
      </c>
      <c r="U112" s="224">
        <f t="shared" si="33"/>
        <v>0</v>
      </c>
      <c r="V112" s="224">
        <f t="shared" si="33"/>
        <v>0</v>
      </c>
      <c r="W112" s="224">
        <f t="shared" si="44"/>
        <v>9259.6000000000349</v>
      </c>
      <c r="X112" s="511">
        <v>1</v>
      </c>
      <c r="Y112" s="501" t="s">
        <v>710</v>
      </c>
      <c r="Z112" s="506">
        <v>4.41</v>
      </c>
      <c r="AA112" s="500">
        <f t="shared" si="35"/>
        <v>291677.40000000002</v>
      </c>
      <c r="AB112" s="106"/>
      <c r="AC112" s="523"/>
      <c r="AD112" s="224">
        <f t="shared" si="42"/>
        <v>291677.40000000002</v>
      </c>
      <c r="AE112" s="511">
        <v>1</v>
      </c>
      <c r="AF112" s="501" t="s">
        <v>1037</v>
      </c>
      <c r="AG112" s="506">
        <v>4.41</v>
      </c>
      <c r="AH112" s="500">
        <f t="shared" si="36"/>
        <v>291677.40000000002</v>
      </c>
      <c r="AI112" s="106"/>
      <c r="AJ112" s="523"/>
      <c r="AK112" s="224">
        <f t="shared" si="43"/>
        <v>291677.40000000002</v>
      </c>
    </row>
    <row r="113" spans="1:37" ht="25.5" x14ac:dyDescent="0.25">
      <c r="A113" s="494">
        <v>67</v>
      </c>
      <c r="B113" s="498" t="s">
        <v>711</v>
      </c>
      <c r="C113" s="498" t="s">
        <v>536</v>
      </c>
      <c r="D113" s="501" t="s">
        <v>712</v>
      </c>
      <c r="E113" s="511">
        <v>1</v>
      </c>
      <c r="F113" s="501" t="s">
        <v>638</v>
      </c>
      <c r="G113" s="506">
        <v>3.53</v>
      </c>
      <c r="H113" s="500">
        <f t="shared" si="34"/>
        <v>233474.19999999998</v>
      </c>
      <c r="I113" s="106"/>
      <c r="J113" s="523">
        <f>H113*0.05</f>
        <v>11673.71</v>
      </c>
      <c r="K113" s="224">
        <f t="shared" si="40"/>
        <v>245147.90999999997</v>
      </c>
      <c r="L113" s="511">
        <v>1</v>
      </c>
      <c r="M113" s="501" t="s">
        <v>637</v>
      </c>
      <c r="N113" s="506">
        <v>3.42</v>
      </c>
      <c r="O113" s="512">
        <f>N113*66140</f>
        <v>226198.8</v>
      </c>
      <c r="P113" s="512"/>
      <c r="Q113" s="523">
        <f>O113*0.05</f>
        <v>11309.94</v>
      </c>
      <c r="R113" s="512">
        <f>O113+P113+Q113</f>
        <v>237508.74</v>
      </c>
      <c r="S113" s="224">
        <f t="shared" si="41"/>
        <v>0</v>
      </c>
      <c r="T113" s="224">
        <f t="shared" si="33"/>
        <v>7275.3999999999942</v>
      </c>
      <c r="U113" s="224">
        <f t="shared" si="33"/>
        <v>0</v>
      </c>
      <c r="V113" s="224">
        <f t="shared" si="33"/>
        <v>363.76999999999862</v>
      </c>
      <c r="W113" s="224">
        <f t="shared" si="44"/>
        <v>7639.1699999999928</v>
      </c>
      <c r="X113" s="511">
        <v>1</v>
      </c>
      <c r="Y113" s="501" t="s">
        <v>639</v>
      </c>
      <c r="Z113" s="506">
        <v>3.53</v>
      </c>
      <c r="AA113" s="500">
        <f t="shared" si="35"/>
        <v>233474.19999999998</v>
      </c>
      <c r="AB113" s="106"/>
      <c r="AC113" s="523">
        <f>AA113*0.05</f>
        <v>11673.71</v>
      </c>
      <c r="AD113" s="224">
        <f t="shared" si="42"/>
        <v>245147.90999999997</v>
      </c>
      <c r="AE113" s="511">
        <v>1</v>
      </c>
      <c r="AF113" s="501" t="s">
        <v>1023</v>
      </c>
      <c r="AG113" s="506">
        <v>3.53</v>
      </c>
      <c r="AH113" s="500">
        <f t="shared" si="36"/>
        <v>233474.19999999998</v>
      </c>
      <c r="AI113" s="106"/>
      <c r="AJ113" s="523">
        <f>AH113*0.05</f>
        <v>11673.71</v>
      </c>
      <c r="AK113" s="224">
        <f t="shared" si="43"/>
        <v>245147.90999999997</v>
      </c>
    </row>
    <row r="114" spans="1:37" x14ac:dyDescent="0.25">
      <c r="A114" s="494"/>
      <c r="B114" s="518" t="s">
        <v>169</v>
      </c>
      <c r="C114" s="519" t="s">
        <v>1</v>
      </c>
      <c r="D114" s="519" t="s">
        <v>1</v>
      </c>
      <c r="E114" s="520">
        <f>SUM(E112:E113)</f>
        <v>2</v>
      </c>
      <c r="F114" s="519" t="s">
        <v>1</v>
      </c>
      <c r="G114" s="519" t="s">
        <v>1</v>
      </c>
      <c r="H114" s="520">
        <f>SUM(H112:H113)</f>
        <v>525151.6</v>
      </c>
      <c r="I114" s="520">
        <f>SUM(I112:I113)</f>
        <v>0</v>
      </c>
      <c r="J114" s="520">
        <f>SUM(J112:J113)</f>
        <v>11673.71</v>
      </c>
      <c r="K114" s="520">
        <f>SUM(K112:K113)</f>
        <v>536825.31000000006</v>
      </c>
      <c r="L114" s="520">
        <f>SUM(L112:L113)</f>
        <v>2</v>
      </c>
      <c r="M114" s="519" t="s">
        <v>1</v>
      </c>
      <c r="N114" s="519" t="s">
        <v>1</v>
      </c>
      <c r="O114" s="520">
        <f>O112+O113</f>
        <v>508616.6</v>
      </c>
      <c r="P114" s="520">
        <f>P112+P113</f>
        <v>0</v>
      </c>
      <c r="Q114" s="520">
        <f>SUM(Q112:Q113)</f>
        <v>11309.94</v>
      </c>
      <c r="R114" s="520">
        <f>R112+R113</f>
        <v>519926.54</v>
      </c>
      <c r="S114" s="224">
        <f t="shared" si="41"/>
        <v>0</v>
      </c>
      <c r="T114" s="224">
        <f t="shared" si="33"/>
        <v>16535</v>
      </c>
      <c r="U114" s="224">
        <f t="shared" si="33"/>
        <v>0</v>
      </c>
      <c r="V114" s="224">
        <f t="shared" si="33"/>
        <v>363.76999999999862</v>
      </c>
      <c r="W114" s="224">
        <f t="shared" si="44"/>
        <v>16898.769999999997</v>
      </c>
      <c r="X114" s="520">
        <f>SUM(X112:X113)</f>
        <v>2</v>
      </c>
      <c r="Y114" s="519" t="s">
        <v>1</v>
      </c>
      <c r="Z114" s="519" t="s">
        <v>1</v>
      </c>
      <c r="AA114" s="520">
        <f>SUM(AA112:AA113)</f>
        <v>525151.6</v>
      </c>
      <c r="AB114" s="520">
        <f>SUM(AB112:AB113)</f>
        <v>0</v>
      </c>
      <c r="AC114" s="520">
        <f>SUM(AC112:AC113)</f>
        <v>11673.71</v>
      </c>
      <c r="AD114" s="520">
        <f>SUM(AD112:AD113)</f>
        <v>536825.31000000006</v>
      </c>
      <c r="AE114" s="520">
        <f>SUM(AE112:AE113)</f>
        <v>2</v>
      </c>
      <c r="AF114" s="519" t="s">
        <v>1</v>
      </c>
      <c r="AG114" s="519" t="s">
        <v>1</v>
      </c>
      <c r="AH114" s="520">
        <f>SUM(AH112:AH113)</f>
        <v>525151.6</v>
      </c>
      <c r="AI114" s="520">
        <f>SUM(AI112:AI113)</f>
        <v>0</v>
      </c>
      <c r="AJ114" s="520">
        <f>SUM(AJ112:AJ113)</f>
        <v>11673.71</v>
      </c>
      <c r="AK114" s="520">
        <f>SUM(AK112:AK113)</f>
        <v>536825.31000000006</v>
      </c>
    </row>
    <row r="115" spans="1:37" ht="13.5" customHeight="1" x14ac:dyDescent="0.25">
      <c r="A115" s="494"/>
      <c r="B115" s="601" t="s">
        <v>713</v>
      </c>
      <c r="C115" s="601"/>
      <c r="D115" s="601"/>
      <c r="E115" s="511"/>
      <c r="F115" s="498"/>
      <c r="G115" s="506"/>
      <c r="H115" s="500">
        <f t="shared" si="34"/>
        <v>0</v>
      </c>
      <c r="I115" s="106"/>
      <c r="J115" s="523"/>
      <c r="K115" s="224">
        <f t="shared" si="40"/>
        <v>0</v>
      </c>
      <c r="L115" s="511"/>
      <c r="M115" s="498"/>
      <c r="N115" s="506"/>
      <c r="O115" s="512"/>
      <c r="P115" s="512"/>
      <c r="Q115" s="523"/>
      <c r="R115" s="512"/>
      <c r="S115" s="224">
        <f t="shared" si="41"/>
        <v>0</v>
      </c>
      <c r="T115" s="224">
        <f t="shared" si="33"/>
        <v>0</v>
      </c>
      <c r="U115" s="224">
        <f t="shared" si="33"/>
        <v>0</v>
      </c>
      <c r="V115" s="224">
        <f t="shared" si="33"/>
        <v>0</v>
      </c>
      <c r="W115" s="224">
        <f t="shared" si="44"/>
        <v>0</v>
      </c>
      <c r="X115" s="511"/>
      <c r="Y115" s="498"/>
      <c r="Z115" s="506"/>
      <c r="AA115" s="500">
        <f t="shared" si="35"/>
        <v>0</v>
      </c>
      <c r="AB115" s="106"/>
      <c r="AC115" s="523"/>
      <c r="AD115" s="224">
        <f t="shared" si="42"/>
        <v>0</v>
      </c>
      <c r="AE115" s="511"/>
      <c r="AF115" s="498"/>
      <c r="AG115" s="506"/>
      <c r="AH115" s="500">
        <f t="shared" si="36"/>
        <v>0</v>
      </c>
      <c r="AI115" s="106"/>
      <c r="AJ115" s="523"/>
      <c r="AK115" s="224">
        <f t="shared" si="43"/>
        <v>0</v>
      </c>
    </row>
    <row r="116" spans="1:37" ht="25.5" x14ac:dyDescent="0.25">
      <c r="A116" s="494">
        <v>68</v>
      </c>
      <c r="B116" s="498" t="s">
        <v>714</v>
      </c>
      <c r="C116" s="498" t="s">
        <v>481</v>
      </c>
      <c r="D116" s="501" t="s">
        <v>715</v>
      </c>
      <c r="E116" s="511">
        <v>1</v>
      </c>
      <c r="F116" s="501" t="s">
        <v>717</v>
      </c>
      <c r="G116" s="506">
        <v>4.8499999999999996</v>
      </c>
      <c r="H116" s="500">
        <f t="shared" si="34"/>
        <v>320779</v>
      </c>
      <c r="I116" s="106"/>
      <c r="J116" s="523">
        <f>H116*0.05</f>
        <v>16038.95</v>
      </c>
      <c r="K116" s="224">
        <f t="shared" si="40"/>
        <v>336817.95</v>
      </c>
      <c r="L116" s="511">
        <v>1</v>
      </c>
      <c r="M116" s="501" t="s">
        <v>716</v>
      </c>
      <c r="N116" s="506">
        <v>4.7</v>
      </c>
      <c r="O116" s="512">
        <f>N116*66140</f>
        <v>310858</v>
      </c>
      <c r="P116" s="512"/>
      <c r="Q116" s="523">
        <f>O116*0.05</f>
        <v>15542.900000000001</v>
      </c>
      <c r="R116" s="512">
        <f>O116+P116+Q116</f>
        <v>326400.90000000002</v>
      </c>
      <c r="S116" s="224">
        <f t="shared" si="41"/>
        <v>0</v>
      </c>
      <c r="T116" s="224">
        <f t="shared" si="33"/>
        <v>9921</v>
      </c>
      <c r="U116" s="224">
        <f t="shared" si="33"/>
        <v>0</v>
      </c>
      <c r="V116" s="224">
        <f t="shared" si="33"/>
        <v>496.04999999999927</v>
      </c>
      <c r="W116" s="224">
        <f t="shared" si="44"/>
        <v>10417.049999999999</v>
      </c>
      <c r="X116" s="511">
        <v>1</v>
      </c>
      <c r="Y116" s="501" t="s">
        <v>718</v>
      </c>
      <c r="Z116" s="506">
        <v>4.8499999999999996</v>
      </c>
      <c r="AA116" s="500">
        <f t="shared" si="35"/>
        <v>320779</v>
      </c>
      <c r="AB116" s="106"/>
      <c r="AC116" s="523">
        <f>AA116*0.05</f>
        <v>16038.95</v>
      </c>
      <c r="AD116" s="224">
        <f t="shared" si="42"/>
        <v>336817.95</v>
      </c>
      <c r="AE116" s="511">
        <v>1</v>
      </c>
      <c r="AF116" s="501" t="s">
        <v>1038</v>
      </c>
      <c r="AG116" s="506">
        <v>4.8499999999999996</v>
      </c>
      <c r="AH116" s="500">
        <f t="shared" si="36"/>
        <v>320779</v>
      </c>
      <c r="AI116" s="106"/>
      <c r="AJ116" s="523">
        <f>AH116*0.05</f>
        <v>16038.95</v>
      </c>
      <c r="AK116" s="224">
        <f t="shared" si="43"/>
        <v>336817.95</v>
      </c>
    </row>
    <row r="117" spans="1:37" ht="25.5" x14ac:dyDescent="0.25">
      <c r="A117" s="494">
        <v>69</v>
      </c>
      <c r="B117" s="498" t="s">
        <v>719</v>
      </c>
      <c r="C117" s="498" t="s">
        <v>536</v>
      </c>
      <c r="D117" s="501" t="s">
        <v>720</v>
      </c>
      <c r="E117" s="511">
        <v>1</v>
      </c>
      <c r="F117" s="498" t="s">
        <v>722</v>
      </c>
      <c r="G117" s="506">
        <v>2.92</v>
      </c>
      <c r="H117" s="500">
        <f t="shared" si="34"/>
        <v>193128.8</v>
      </c>
      <c r="I117" s="106"/>
      <c r="J117" s="523"/>
      <c r="K117" s="224">
        <f t="shared" si="40"/>
        <v>193128.8</v>
      </c>
      <c r="L117" s="511">
        <v>1</v>
      </c>
      <c r="M117" s="498" t="s">
        <v>721</v>
      </c>
      <c r="N117" s="506">
        <v>2.75</v>
      </c>
      <c r="O117" s="512">
        <f>N117*66140</f>
        <v>181885</v>
      </c>
      <c r="P117" s="512"/>
      <c r="Q117" s="523"/>
      <c r="R117" s="512">
        <f>O117+P117+Q117</f>
        <v>181885</v>
      </c>
      <c r="S117" s="224">
        <f t="shared" si="41"/>
        <v>0</v>
      </c>
      <c r="T117" s="224">
        <f t="shared" si="33"/>
        <v>11243.799999999988</v>
      </c>
      <c r="U117" s="224">
        <f t="shared" si="33"/>
        <v>0</v>
      </c>
      <c r="V117" s="224">
        <f t="shared" si="33"/>
        <v>0</v>
      </c>
      <c r="W117" s="224">
        <f t="shared" si="44"/>
        <v>11243.799999999988</v>
      </c>
      <c r="X117" s="511">
        <v>1</v>
      </c>
      <c r="Y117" s="498" t="s">
        <v>991</v>
      </c>
      <c r="Z117" s="506">
        <v>2.92</v>
      </c>
      <c r="AA117" s="500">
        <f t="shared" si="35"/>
        <v>193128.8</v>
      </c>
      <c r="AB117" s="106"/>
      <c r="AC117" s="523"/>
      <c r="AD117" s="224">
        <f t="shared" si="42"/>
        <v>193128.8</v>
      </c>
      <c r="AE117" s="511">
        <v>1</v>
      </c>
      <c r="AF117" s="498" t="s">
        <v>1039</v>
      </c>
      <c r="AG117" s="506">
        <v>2.92</v>
      </c>
      <c r="AH117" s="500">
        <f t="shared" si="36"/>
        <v>193128.8</v>
      </c>
      <c r="AI117" s="106"/>
      <c r="AJ117" s="523"/>
      <c r="AK117" s="224">
        <f t="shared" si="43"/>
        <v>193128.8</v>
      </c>
    </row>
    <row r="118" spans="1:37" x14ac:dyDescent="0.25">
      <c r="A118" s="494"/>
      <c r="B118" s="518" t="s">
        <v>169</v>
      </c>
      <c r="C118" s="519" t="s">
        <v>1</v>
      </c>
      <c r="D118" s="519" t="s">
        <v>1</v>
      </c>
      <c r="E118" s="520">
        <f>SUM(E116:E117)</f>
        <v>2</v>
      </c>
      <c r="F118" s="519" t="s">
        <v>1</v>
      </c>
      <c r="G118" s="519" t="s">
        <v>1</v>
      </c>
      <c r="H118" s="520">
        <f>SUM(H116:H117)</f>
        <v>513907.8</v>
      </c>
      <c r="I118" s="520">
        <f>SUM(I116:I117)</f>
        <v>0</v>
      </c>
      <c r="J118" s="520">
        <f>SUM(J116:J117)</f>
        <v>16038.95</v>
      </c>
      <c r="K118" s="520">
        <f>SUM(K116:K117)</f>
        <v>529946.75</v>
      </c>
      <c r="L118" s="520">
        <f>SUM(L116:L117)</f>
        <v>2</v>
      </c>
      <c r="M118" s="519" t="s">
        <v>1</v>
      </c>
      <c r="N118" s="519" t="s">
        <v>1</v>
      </c>
      <c r="O118" s="520">
        <f>SUM(O116:O117)</f>
        <v>492743</v>
      </c>
      <c r="P118" s="520">
        <f>SUM(P116:P117)</f>
        <v>0</v>
      </c>
      <c r="Q118" s="520">
        <f>SUM(Q116:Q117)</f>
        <v>15542.900000000001</v>
      </c>
      <c r="R118" s="520">
        <f>SUM(R116:R117)</f>
        <v>508285.9</v>
      </c>
      <c r="S118" s="224">
        <f t="shared" si="41"/>
        <v>0</v>
      </c>
      <c r="T118" s="224">
        <f t="shared" si="33"/>
        <v>21164.799999999988</v>
      </c>
      <c r="U118" s="224">
        <f t="shared" si="33"/>
        <v>0</v>
      </c>
      <c r="V118" s="224">
        <f t="shared" si="33"/>
        <v>496.04999999999927</v>
      </c>
      <c r="W118" s="224">
        <f t="shared" si="44"/>
        <v>21660.849999999988</v>
      </c>
      <c r="X118" s="520">
        <f>SUM(X116:X117)</f>
        <v>2</v>
      </c>
      <c r="Y118" s="519" t="s">
        <v>1</v>
      </c>
      <c r="Z118" s="519" t="s">
        <v>1</v>
      </c>
      <c r="AA118" s="520">
        <f>SUM(AA116:AA117)</f>
        <v>513907.8</v>
      </c>
      <c r="AB118" s="520">
        <f>SUM(AB116:AB117)</f>
        <v>0</v>
      </c>
      <c r="AC118" s="520">
        <f>SUM(AC116:AC117)</f>
        <v>16038.95</v>
      </c>
      <c r="AD118" s="520">
        <f>SUM(AD116:AD117)</f>
        <v>529946.75</v>
      </c>
      <c r="AE118" s="520">
        <f>SUM(AE116:AE117)</f>
        <v>2</v>
      </c>
      <c r="AF118" s="519" t="s">
        <v>1</v>
      </c>
      <c r="AG118" s="519" t="s">
        <v>1</v>
      </c>
      <c r="AH118" s="520">
        <f>SUM(AH116:AH117)</f>
        <v>513907.8</v>
      </c>
      <c r="AI118" s="520">
        <f>SUM(AI116:AI117)</f>
        <v>0</v>
      </c>
      <c r="AJ118" s="520">
        <f>SUM(AJ116:AJ117)</f>
        <v>16038.95</v>
      </c>
      <c r="AK118" s="520">
        <f>SUM(AK116:AK117)</f>
        <v>529946.75</v>
      </c>
    </row>
    <row r="119" spans="1:37" ht="13.5" customHeight="1" x14ac:dyDescent="0.25">
      <c r="A119" s="494"/>
      <c r="B119" s="601" t="s">
        <v>723</v>
      </c>
      <c r="C119" s="601"/>
      <c r="D119" s="601"/>
      <c r="E119" s="511"/>
      <c r="F119" s="498"/>
      <c r="G119" s="506"/>
      <c r="H119" s="500">
        <f t="shared" si="34"/>
        <v>0</v>
      </c>
      <c r="I119" s="106"/>
      <c r="J119" s="523"/>
      <c r="K119" s="224">
        <f t="shared" si="40"/>
        <v>0</v>
      </c>
      <c r="L119" s="511"/>
      <c r="M119" s="498"/>
      <c r="N119" s="506"/>
      <c r="O119" s="512"/>
      <c r="P119" s="512"/>
      <c r="Q119" s="523"/>
      <c r="R119" s="512"/>
      <c r="S119" s="224">
        <f t="shared" si="41"/>
        <v>0</v>
      </c>
      <c r="T119" s="224">
        <f t="shared" si="33"/>
        <v>0</v>
      </c>
      <c r="U119" s="224">
        <f t="shared" si="33"/>
        <v>0</v>
      </c>
      <c r="V119" s="224">
        <f t="shared" si="33"/>
        <v>0</v>
      </c>
      <c r="W119" s="224">
        <f t="shared" si="44"/>
        <v>0</v>
      </c>
      <c r="X119" s="511"/>
      <c r="Y119" s="498"/>
      <c r="Z119" s="506"/>
      <c r="AA119" s="500">
        <f t="shared" si="35"/>
        <v>0</v>
      </c>
      <c r="AB119" s="106"/>
      <c r="AC119" s="523"/>
      <c r="AD119" s="224">
        <f t="shared" si="42"/>
        <v>0</v>
      </c>
      <c r="AE119" s="511"/>
      <c r="AF119" s="498"/>
      <c r="AG119" s="506"/>
      <c r="AH119" s="500">
        <f t="shared" si="36"/>
        <v>0</v>
      </c>
      <c r="AI119" s="106"/>
      <c r="AJ119" s="523"/>
      <c r="AK119" s="224">
        <f t="shared" si="43"/>
        <v>0</v>
      </c>
    </row>
    <row r="120" spans="1:37" ht="25.5" x14ac:dyDescent="0.25">
      <c r="A120" s="494">
        <v>70</v>
      </c>
      <c r="B120" s="498" t="s">
        <v>724</v>
      </c>
      <c r="C120" s="498" t="s">
        <v>481</v>
      </c>
      <c r="D120" s="501" t="s">
        <v>725</v>
      </c>
      <c r="E120" s="511">
        <v>1</v>
      </c>
      <c r="F120" s="501" t="s">
        <v>727</v>
      </c>
      <c r="G120" s="506">
        <v>4.7</v>
      </c>
      <c r="H120" s="500">
        <f t="shared" si="34"/>
        <v>310858</v>
      </c>
      <c r="I120" s="106"/>
      <c r="J120" s="523">
        <f>H120*0.05</f>
        <v>15542.900000000001</v>
      </c>
      <c r="K120" s="224">
        <f>H120+I120+J120</f>
        <v>326400.90000000002</v>
      </c>
      <c r="L120" s="511">
        <v>1</v>
      </c>
      <c r="M120" s="501" t="s">
        <v>726</v>
      </c>
      <c r="N120" s="506">
        <v>4.7</v>
      </c>
      <c r="O120" s="512">
        <f>N120*66140</f>
        <v>310858</v>
      </c>
      <c r="P120" s="512"/>
      <c r="Q120" s="523">
        <f>O120*0.05</f>
        <v>15542.900000000001</v>
      </c>
      <c r="R120" s="512">
        <f>O120+P120+Q120</f>
        <v>326400.90000000002</v>
      </c>
      <c r="S120" s="224">
        <f t="shared" si="41"/>
        <v>0</v>
      </c>
      <c r="T120" s="224">
        <f t="shared" si="33"/>
        <v>0</v>
      </c>
      <c r="U120" s="224">
        <f t="shared" si="33"/>
        <v>0</v>
      </c>
      <c r="V120" s="224">
        <f>J120-Q120</f>
        <v>0</v>
      </c>
      <c r="W120" s="224">
        <f t="shared" si="44"/>
        <v>0</v>
      </c>
      <c r="X120" s="511">
        <v>1</v>
      </c>
      <c r="Y120" s="501" t="s">
        <v>727</v>
      </c>
      <c r="Z120" s="506">
        <v>4.7</v>
      </c>
      <c r="AA120" s="500">
        <f t="shared" si="35"/>
        <v>310858</v>
      </c>
      <c r="AB120" s="106"/>
      <c r="AC120" s="523">
        <f>AA120*0.05</f>
        <v>15542.900000000001</v>
      </c>
      <c r="AD120" s="224">
        <f t="shared" si="42"/>
        <v>326400.90000000002</v>
      </c>
      <c r="AE120" s="511">
        <v>1</v>
      </c>
      <c r="AF120" s="501" t="s">
        <v>728</v>
      </c>
      <c r="AG120" s="506">
        <v>4.7</v>
      </c>
      <c r="AH120" s="500">
        <f t="shared" si="36"/>
        <v>310858</v>
      </c>
      <c r="AI120" s="106"/>
      <c r="AJ120" s="523">
        <f>AH120*0.05</f>
        <v>15542.900000000001</v>
      </c>
      <c r="AK120" s="224">
        <f t="shared" si="43"/>
        <v>326400.90000000002</v>
      </c>
    </row>
    <row r="121" spans="1:37" ht="25.5" x14ac:dyDescent="0.25">
      <c r="A121" s="494">
        <v>71</v>
      </c>
      <c r="B121" s="498" t="s">
        <v>729</v>
      </c>
      <c r="C121" s="498" t="s">
        <v>536</v>
      </c>
      <c r="D121" s="501" t="s">
        <v>730</v>
      </c>
      <c r="E121" s="511">
        <v>1</v>
      </c>
      <c r="F121" s="501" t="s">
        <v>732</v>
      </c>
      <c r="G121" s="506">
        <v>3.42</v>
      </c>
      <c r="H121" s="500">
        <f t="shared" si="34"/>
        <v>226198.8</v>
      </c>
      <c r="I121" s="106"/>
      <c r="J121" s="523">
        <f>H121*0.05</f>
        <v>11309.94</v>
      </c>
      <c r="K121" s="224">
        <f>H121+I121+J121</f>
        <v>237508.74</v>
      </c>
      <c r="L121" s="511">
        <v>1</v>
      </c>
      <c r="M121" s="501" t="s">
        <v>731</v>
      </c>
      <c r="N121" s="506">
        <v>3.31</v>
      </c>
      <c r="O121" s="512">
        <f>N121*66140</f>
        <v>218923.4</v>
      </c>
      <c r="P121" s="512"/>
      <c r="Q121" s="523">
        <f>O121*0.05</f>
        <v>10946.17</v>
      </c>
      <c r="R121" s="512">
        <f>O121+P121+Q121</f>
        <v>229869.57</v>
      </c>
      <c r="S121" s="224">
        <f t="shared" si="41"/>
        <v>0</v>
      </c>
      <c r="T121" s="224">
        <f t="shared" si="33"/>
        <v>7275.3999999999942</v>
      </c>
      <c r="U121" s="224">
        <f t="shared" si="33"/>
        <v>0</v>
      </c>
      <c r="V121" s="224">
        <f>J121-Q121</f>
        <v>363.77000000000044</v>
      </c>
      <c r="W121" s="224">
        <f t="shared" si="44"/>
        <v>7639.1699999999946</v>
      </c>
      <c r="X121" s="511">
        <v>1</v>
      </c>
      <c r="Y121" s="501" t="s">
        <v>733</v>
      </c>
      <c r="Z121" s="506">
        <v>3.42</v>
      </c>
      <c r="AA121" s="500">
        <f t="shared" si="35"/>
        <v>226198.8</v>
      </c>
      <c r="AB121" s="106"/>
      <c r="AC121" s="523">
        <f>AA121*0.05</f>
        <v>11309.94</v>
      </c>
      <c r="AD121" s="224">
        <f t="shared" si="42"/>
        <v>237508.74</v>
      </c>
      <c r="AE121" s="511">
        <v>1</v>
      </c>
      <c r="AF121" s="501" t="s">
        <v>1040</v>
      </c>
      <c r="AG121" s="506">
        <v>3.42</v>
      </c>
      <c r="AH121" s="500">
        <f t="shared" si="36"/>
        <v>226198.8</v>
      </c>
      <c r="AI121" s="106"/>
      <c r="AJ121" s="523">
        <f>AH121*0.05</f>
        <v>11309.94</v>
      </c>
      <c r="AK121" s="224">
        <f t="shared" si="43"/>
        <v>237508.74</v>
      </c>
    </row>
    <row r="122" spans="1:37" x14ac:dyDescent="0.25">
      <c r="A122" s="494">
        <v>72</v>
      </c>
      <c r="B122" s="510" t="s">
        <v>556</v>
      </c>
      <c r="C122" s="498" t="s">
        <v>491</v>
      </c>
      <c r="D122" s="501" t="s">
        <v>734</v>
      </c>
      <c r="E122" s="513">
        <v>1</v>
      </c>
      <c r="F122" s="515"/>
      <c r="G122" s="516">
        <v>2.2799999999999998</v>
      </c>
      <c r="H122" s="500">
        <f t="shared" si="34"/>
        <v>150799.19999999998</v>
      </c>
      <c r="I122" s="106"/>
      <c r="J122" s="522"/>
      <c r="K122" s="224">
        <f t="shared" si="40"/>
        <v>150799.19999999998</v>
      </c>
      <c r="L122" s="513">
        <v>1</v>
      </c>
      <c r="M122" s="501"/>
      <c r="N122" s="506">
        <v>2.2799999999999998</v>
      </c>
      <c r="O122" s="514">
        <f>N122*66140</f>
        <v>150799.19999999998</v>
      </c>
      <c r="P122" s="514"/>
      <c r="Q122" s="523"/>
      <c r="R122" s="514">
        <f>O122+P122+Q122</f>
        <v>150799.19999999998</v>
      </c>
      <c r="S122" s="224">
        <f t="shared" si="41"/>
        <v>0</v>
      </c>
      <c r="T122" s="224">
        <f t="shared" si="33"/>
        <v>0</v>
      </c>
      <c r="U122" s="224">
        <f t="shared" si="33"/>
        <v>0</v>
      </c>
      <c r="V122" s="224">
        <f t="shared" si="33"/>
        <v>0</v>
      </c>
      <c r="W122" s="224">
        <f t="shared" si="44"/>
        <v>0</v>
      </c>
      <c r="X122" s="513">
        <v>1</v>
      </c>
      <c r="Y122" s="515"/>
      <c r="Z122" s="516">
        <v>2.2799999999999998</v>
      </c>
      <c r="AA122" s="500">
        <f t="shared" si="35"/>
        <v>150799.19999999998</v>
      </c>
      <c r="AB122" s="106"/>
      <c r="AC122" s="523"/>
      <c r="AD122" s="224">
        <f t="shared" si="42"/>
        <v>150799.19999999998</v>
      </c>
      <c r="AE122" s="513">
        <v>1</v>
      </c>
      <c r="AF122" s="515"/>
      <c r="AG122" s="516">
        <v>2.2799999999999998</v>
      </c>
      <c r="AH122" s="500">
        <f t="shared" si="36"/>
        <v>150799.19999999998</v>
      </c>
      <c r="AI122" s="106"/>
      <c r="AJ122" s="523"/>
      <c r="AK122" s="224">
        <f t="shared" si="43"/>
        <v>150799.19999999998</v>
      </c>
    </row>
    <row r="123" spans="1:37" ht="25.5" x14ac:dyDescent="0.25">
      <c r="A123" s="494">
        <v>73</v>
      </c>
      <c r="B123" s="498" t="s">
        <v>735</v>
      </c>
      <c r="C123" s="501" t="s">
        <v>497</v>
      </c>
      <c r="D123" s="501" t="s">
        <v>736</v>
      </c>
      <c r="E123" s="511">
        <v>1</v>
      </c>
      <c r="F123" s="501" t="s">
        <v>517</v>
      </c>
      <c r="G123" s="506">
        <v>1.9</v>
      </c>
      <c r="H123" s="500">
        <f t="shared" si="34"/>
        <v>125666</v>
      </c>
      <c r="I123" s="106"/>
      <c r="J123" s="523">
        <f>H123*0.05</f>
        <v>6283.3</v>
      </c>
      <c r="K123" s="224">
        <f t="shared" si="40"/>
        <v>131949.29999999999</v>
      </c>
      <c r="L123" s="511">
        <v>1</v>
      </c>
      <c r="M123" s="501" t="s">
        <v>515</v>
      </c>
      <c r="N123" s="506">
        <v>1.9</v>
      </c>
      <c r="O123" s="512">
        <f>N123*66140</f>
        <v>125666</v>
      </c>
      <c r="P123" s="512"/>
      <c r="Q123" s="523">
        <f>O123*0.05</f>
        <v>6283.3</v>
      </c>
      <c r="R123" s="512">
        <f>O123+P123+Q123</f>
        <v>131949.29999999999</v>
      </c>
      <c r="S123" s="224">
        <f t="shared" si="41"/>
        <v>0</v>
      </c>
      <c r="T123" s="224">
        <f t="shared" si="33"/>
        <v>0</v>
      </c>
      <c r="U123" s="224">
        <f t="shared" si="33"/>
        <v>0</v>
      </c>
      <c r="V123" s="224">
        <f t="shared" si="33"/>
        <v>0</v>
      </c>
      <c r="W123" s="224">
        <f t="shared" si="44"/>
        <v>0</v>
      </c>
      <c r="X123" s="511">
        <v>1</v>
      </c>
      <c r="Y123" s="501" t="s">
        <v>518</v>
      </c>
      <c r="Z123" s="506">
        <v>1.9</v>
      </c>
      <c r="AA123" s="500">
        <f t="shared" si="35"/>
        <v>125666</v>
      </c>
      <c r="AB123" s="106"/>
      <c r="AC123" s="523">
        <f>AA123*0.05</f>
        <v>6283.3</v>
      </c>
      <c r="AD123" s="224">
        <f t="shared" si="42"/>
        <v>131949.29999999999</v>
      </c>
      <c r="AE123" s="511">
        <v>1</v>
      </c>
      <c r="AF123" s="501" t="s">
        <v>1004</v>
      </c>
      <c r="AG123" s="506">
        <v>1.95</v>
      </c>
      <c r="AH123" s="500">
        <f t="shared" si="36"/>
        <v>128973</v>
      </c>
      <c r="AI123" s="106"/>
      <c r="AJ123" s="523">
        <f>AH123*0.05</f>
        <v>6448.6500000000005</v>
      </c>
      <c r="AK123" s="224">
        <f t="shared" si="43"/>
        <v>135421.65</v>
      </c>
    </row>
    <row r="124" spans="1:37" x14ac:dyDescent="0.25">
      <c r="A124" s="494"/>
      <c r="B124" s="518" t="s">
        <v>169</v>
      </c>
      <c r="C124" s="519" t="s">
        <v>1</v>
      </c>
      <c r="D124" s="519" t="s">
        <v>1</v>
      </c>
      <c r="E124" s="520">
        <f>SUM(E119:E123)</f>
        <v>4</v>
      </c>
      <c r="F124" s="519" t="s">
        <v>1</v>
      </c>
      <c r="G124" s="519" t="s">
        <v>1</v>
      </c>
      <c r="H124" s="520">
        <f>SUM(H119:H123)</f>
        <v>813522</v>
      </c>
      <c r="I124" s="520">
        <f>SUM(I119:I123)</f>
        <v>0</v>
      </c>
      <c r="J124" s="520">
        <f>SUM(J119:J123)</f>
        <v>33136.140000000007</v>
      </c>
      <c r="K124" s="520">
        <f>SUM(K119:K123)</f>
        <v>846658.1399999999</v>
      </c>
      <c r="L124" s="520">
        <f>SUM(L119:L123)</f>
        <v>4</v>
      </c>
      <c r="M124" s="519" t="s">
        <v>1</v>
      </c>
      <c r="N124" s="519" t="s">
        <v>1</v>
      </c>
      <c r="O124" s="520">
        <f>SUM(O119:O123)</f>
        <v>806246.6</v>
      </c>
      <c r="P124" s="520">
        <f>SUM(P119:P123)</f>
        <v>0</v>
      </c>
      <c r="Q124" s="520">
        <f>SUM(Q119:Q123)</f>
        <v>32772.370000000003</v>
      </c>
      <c r="R124" s="520">
        <f>R120+R121+R122+R123</f>
        <v>839018.97</v>
      </c>
      <c r="S124" s="224">
        <f t="shared" si="41"/>
        <v>0</v>
      </c>
      <c r="T124" s="224">
        <f t="shared" si="33"/>
        <v>7275.4000000000233</v>
      </c>
      <c r="U124" s="224">
        <f t="shared" si="33"/>
        <v>0</v>
      </c>
      <c r="V124" s="224">
        <f t="shared" si="33"/>
        <v>363.77000000000407</v>
      </c>
      <c r="W124" s="224">
        <f t="shared" si="44"/>
        <v>7639.1700000000274</v>
      </c>
      <c r="X124" s="520">
        <f>SUM(X119:X123)</f>
        <v>4</v>
      </c>
      <c r="Y124" s="519" t="s">
        <v>1</v>
      </c>
      <c r="Z124" s="519" t="s">
        <v>1</v>
      </c>
      <c r="AA124" s="520">
        <f>SUM(AA119:AA123)</f>
        <v>813522</v>
      </c>
      <c r="AB124" s="520">
        <f>SUM(AB119:AB123)</f>
        <v>0</v>
      </c>
      <c r="AC124" s="520">
        <f>SUM(AC119:AC123)</f>
        <v>33136.140000000007</v>
      </c>
      <c r="AD124" s="520">
        <f>SUM(AD119:AD123)</f>
        <v>846658.1399999999</v>
      </c>
      <c r="AE124" s="520">
        <f>SUM(AE119:AE123)</f>
        <v>4</v>
      </c>
      <c r="AF124" s="519" t="s">
        <v>1</v>
      </c>
      <c r="AG124" s="519" t="s">
        <v>1</v>
      </c>
      <c r="AH124" s="520">
        <f>SUM(AH119:AH123)</f>
        <v>816829</v>
      </c>
      <c r="AI124" s="520">
        <f>SUM(AI119:AI123)</f>
        <v>0</v>
      </c>
      <c r="AJ124" s="520">
        <f>SUM(AJ119:AJ123)</f>
        <v>33301.490000000005</v>
      </c>
      <c r="AK124" s="520">
        <f>SUM(AK119:AK123)</f>
        <v>850130.49</v>
      </c>
    </row>
    <row r="125" spans="1:37" ht="13.5" customHeight="1" x14ac:dyDescent="0.25">
      <c r="A125" s="494"/>
      <c r="B125" s="601" t="s">
        <v>737</v>
      </c>
      <c r="C125" s="601"/>
      <c r="D125" s="601"/>
      <c r="E125" s="511"/>
      <c r="F125" s="523"/>
      <c r="G125" s="506"/>
      <c r="H125" s="500">
        <f t="shared" si="34"/>
        <v>0</v>
      </c>
      <c r="I125" s="106"/>
      <c r="J125" s="523"/>
      <c r="K125" s="224">
        <f t="shared" si="40"/>
        <v>0</v>
      </c>
      <c r="L125" s="511"/>
      <c r="M125" s="523"/>
      <c r="N125" s="506"/>
      <c r="O125" s="512"/>
      <c r="P125" s="512"/>
      <c r="Q125" s="523"/>
      <c r="R125" s="512"/>
      <c r="S125" s="224">
        <f t="shared" si="41"/>
        <v>0</v>
      </c>
      <c r="T125" s="224">
        <f t="shared" si="33"/>
        <v>0</v>
      </c>
      <c r="U125" s="224">
        <f t="shared" si="33"/>
        <v>0</v>
      </c>
      <c r="V125" s="224">
        <f t="shared" si="33"/>
        <v>0</v>
      </c>
      <c r="W125" s="224">
        <f t="shared" si="44"/>
        <v>0</v>
      </c>
      <c r="X125" s="511"/>
      <c r="Y125" s="523"/>
      <c r="Z125" s="506"/>
      <c r="AA125" s="500">
        <f t="shared" si="35"/>
        <v>0</v>
      </c>
      <c r="AB125" s="106"/>
      <c r="AC125" s="523"/>
      <c r="AD125" s="224">
        <f t="shared" si="42"/>
        <v>0</v>
      </c>
      <c r="AE125" s="511"/>
      <c r="AF125" s="523"/>
      <c r="AG125" s="506"/>
      <c r="AH125" s="500">
        <f t="shared" si="36"/>
        <v>0</v>
      </c>
      <c r="AI125" s="106"/>
      <c r="AJ125" s="523"/>
      <c r="AK125" s="224">
        <f t="shared" si="43"/>
        <v>0</v>
      </c>
    </row>
    <row r="126" spans="1:37" ht="25.5" x14ac:dyDescent="0.25">
      <c r="A126" s="494">
        <v>74</v>
      </c>
      <c r="B126" s="517" t="s">
        <v>738</v>
      </c>
      <c r="C126" s="517" t="s">
        <v>481</v>
      </c>
      <c r="D126" s="515" t="s">
        <v>739</v>
      </c>
      <c r="E126" s="511">
        <v>1</v>
      </c>
      <c r="F126" s="501" t="s">
        <v>741</v>
      </c>
      <c r="G126" s="506">
        <v>5.01</v>
      </c>
      <c r="H126" s="500">
        <f t="shared" si="34"/>
        <v>331361.39999999997</v>
      </c>
      <c r="I126" s="106"/>
      <c r="J126" s="523">
        <f>H126*0.05</f>
        <v>16568.07</v>
      </c>
      <c r="K126" s="224">
        <f t="shared" si="40"/>
        <v>347929.47</v>
      </c>
      <c r="L126" s="511">
        <v>1</v>
      </c>
      <c r="M126" s="515" t="s">
        <v>740</v>
      </c>
      <c r="N126" s="516">
        <v>4.8499999999999996</v>
      </c>
      <c r="O126" s="512">
        <f t="shared" ref="O126:O131" si="45">N126*66140</f>
        <v>320779</v>
      </c>
      <c r="P126" s="512"/>
      <c r="Q126" s="522">
        <f t="shared" ref="Q126:Q131" si="46">O126*0.05</f>
        <v>16038.95</v>
      </c>
      <c r="R126" s="512">
        <f t="shared" ref="R126:R131" si="47">O126+P126+Q126</f>
        <v>336817.95</v>
      </c>
      <c r="S126" s="224">
        <f t="shared" si="41"/>
        <v>0</v>
      </c>
      <c r="T126" s="224">
        <f t="shared" si="33"/>
        <v>10582.399999999965</v>
      </c>
      <c r="U126" s="224">
        <f t="shared" si="33"/>
        <v>0</v>
      </c>
      <c r="V126" s="224">
        <f t="shared" si="33"/>
        <v>529.11999999999898</v>
      </c>
      <c r="W126" s="224">
        <f t="shared" si="44"/>
        <v>11111.519999999964</v>
      </c>
      <c r="X126" s="511">
        <v>1</v>
      </c>
      <c r="Y126" s="501" t="s">
        <v>742</v>
      </c>
      <c r="Z126" s="506">
        <v>5.01</v>
      </c>
      <c r="AA126" s="500">
        <f t="shared" si="35"/>
        <v>331361.39999999997</v>
      </c>
      <c r="AB126" s="106"/>
      <c r="AC126" s="523">
        <f t="shared" ref="AC126:AC131" si="48">AA126*0.05</f>
        <v>16568.07</v>
      </c>
      <c r="AD126" s="224">
        <f t="shared" si="42"/>
        <v>347929.47</v>
      </c>
      <c r="AE126" s="511">
        <v>1</v>
      </c>
      <c r="AF126" s="501" t="s">
        <v>1041</v>
      </c>
      <c r="AG126" s="506">
        <v>5.01</v>
      </c>
      <c r="AH126" s="500">
        <f t="shared" si="36"/>
        <v>331361.39999999997</v>
      </c>
      <c r="AI126" s="106"/>
      <c r="AJ126" s="523">
        <f t="shared" ref="AJ126:AJ131" si="49">AH126*0.05</f>
        <v>16568.07</v>
      </c>
      <c r="AK126" s="224">
        <f t="shared" si="43"/>
        <v>347929.47</v>
      </c>
    </row>
    <row r="127" spans="1:37" ht="25.5" x14ac:dyDescent="0.25">
      <c r="A127" s="494">
        <v>75</v>
      </c>
      <c r="B127" s="498" t="s">
        <v>743</v>
      </c>
      <c r="C127" s="498" t="s">
        <v>536</v>
      </c>
      <c r="D127" s="501" t="s">
        <v>744</v>
      </c>
      <c r="E127" s="511">
        <v>1</v>
      </c>
      <c r="F127" s="501" t="s">
        <v>746</v>
      </c>
      <c r="G127" s="506">
        <v>3.42</v>
      </c>
      <c r="H127" s="500">
        <f t="shared" si="34"/>
        <v>226198.8</v>
      </c>
      <c r="I127" s="106"/>
      <c r="J127" s="523">
        <f>H127*0.05</f>
        <v>11309.94</v>
      </c>
      <c r="K127" s="224">
        <f t="shared" si="40"/>
        <v>237508.74</v>
      </c>
      <c r="L127" s="511">
        <v>1</v>
      </c>
      <c r="M127" s="501" t="s">
        <v>745</v>
      </c>
      <c r="N127" s="506">
        <v>3.31</v>
      </c>
      <c r="O127" s="512">
        <f t="shared" si="45"/>
        <v>218923.4</v>
      </c>
      <c r="P127" s="512"/>
      <c r="Q127" s="523">
        <f t="shared" si="46"/>
        <v>10946.17</v>
      </c>
      <c r="R127" s="512">
        <f t="shared" si="47"/>
        <v>229869.57</v>
      </c>
      <c r="S127" s="224">
        <f t="shared" si="41"/>
        <v>0</v>
      </c>
      <c r="T127" s="224">
        <f t="shared" si="33"/>
        <v>7275.3999999999942</v>
      </c>
      <c r="U127" s="224">
        <f t="shared" si="33"/>
        <v>0</v>
      </c>
      <c r="V127" s="224">
        <f t="shared" si="33"/>
        <v>363.77000000000044</v>
      </c>
      <c r="W127" s="224">
        <f t="shared" si="44"/>
        <v>7639.1699999999946</v>
      </c>
      <c r="X127" s="511">
        <v>1</v>
      </c>
      <c r="Y127" s="501" t="s">
        <v>747</v>
      </c>
      <c r="Z127" s="506">
        <v>3.42</v>
      </c>
      <c r="AA127" s="500">
        <f t="shared" si="35"/>
        <v>226198.8</v>
      </c>
      <c r="AB127" s="106"/>
      <c r="AC127" s="523">
        <f t="shared" si="48"/>
        <v>11309.94</v>
      </c>
      <c r="AD127" s="224">
        <f t="shared" si="42"/>
        <v>237508.74</v>
      </c>
      <c r="AE127" s="511">
        <v>1</v>
      </c>
      <c r="AF127" s="501" t="s">
        <v>1042</v>
      </c>
      <c r="AG127" s="506">
        <v>3.42</v>
      </c>
      <c r="AH127" s="500">
        <f t="shared" si="36"/>
        <v>226198.8</v>
      </c>
      <c r="AI127" s="106"/>
      <c r="AJ127" s="523">
        <f t="shared" si="49"/>
        <v>11309.94</v>
      </c>
      <c r="AK127" s="224">
        <f t="shared" si="43"/>
        <v>237508.74</v>
      </c>
    </row>
    <row r="128" spans="1:37" ht="25.5" x14ac:dyDescent="0.25">
      <c r="A128" s="494">
        <v>76</v>
      </c>
      <c r="B128" s="517" t="s">
        <v>748</v>
      </c>
      <c r="C128" s="517" t="s">
        <v>536</v>
      </c>
      <c r="D128" s="515" t="s">
        <v>749</v>
      </c>
      <c r="E128" s="513">
        <v>1</v>
      </c>
      <c r="F128" s="515" t="s">
        <v>521</v>
      </c>
      <c r="G128" s="516">
        <v>3.11</v>
      </c>
      <c r="H128" s="500">
        <f t="shared" si="34"/>
        <v>205695.4</v>
      </c>
      <c r="I128" s="106"/>
      <c r="J128" s="522"/>
      <c r="K128" s="224">
        <f t="shared" si="40"/>
        <v>205695.4</v>
      </c>
      <c r="L128" s="513">
        <v>1</v>
      </c>
      <c r="M128" s="515" t="s">
        <v>750</v>
      </c>
      <c r="N128" s="516">
        <v>3.02</v>
      </c>
      <c r="O128" s="514">
        <f t="shared" si="45"/>
        <v>199742.8</v>
      </c>
      <c r="P128" s="514"/>
      <c r="Q128" s="522">
        <f t="shared" si="46"/>
        <v>9987.14</v>
      </c>
      <c r="R128" s="514">
        <f t="shared" si="47"/>
        <v>209729.94</v>
      </c>
      <c r="S128" s="224">
        <f t="shared" si="41"/>
        <v>0</v>
      </c>
      <c r="T128" s="224">
        <f t="shared" si="33"/>
        <v>5952.6000000000058</v>
      </c>
      <c r="U128" s="224">
        <f t="shared" si="33"/>
        <v>0</v>
      </c>
      <c r="V128" s="224">
        <f t="shared" si="33"/>
        <v>-9987.14</v>
      </c>
      <c r="W128" s="224">
        <f t="shared" si="44"/>
        <v>-4034.5399999999936</v>
      </c>
      <c r="X128" s="513">
        <v>1</v>
      </c>
      <c r="Y128" s="515" t="s">
        <v>522</v>
      </c>
      <c r="Z128" s="516">
        <v>3.11</v>
      </c>
      <c r="AA128" s="500">
        <f t="shared" si="35"/>
        <v>205695.4</v>
      </c>
      <c r="AB128" s="106"/>
      <c r="AC128" s="523">
        <f t="shared" si="48"/>
        <v>10284.77</v>
      </c>
      <c r="AD128" s="224">
        <f t="shared" si="42"/>
        <v>215980.16999999998</v>
      </c>
      <c r="AE128" s="513">
        <v>1</v>
      </c>
      <c r="AF128" s="515" t="s">
        <v>1017</v>
      </c>
      <c r="AG128" s="516">
        <v>3.11</v>
      </c>
      <c r="AH128" s="500">
        <f t="shared" si="36"/>
        <v>205695.4</v>
      </c>
      <c r="AI128" s="106"/>
      <c r="AJ128" s="523">
        <f t="shared" si="49"/>
        <v>10284.77</v>
      </c>
      <c r="AK128" s="224">
        <f t="shared" si="43"/>
        <v>215980.16999999998</v>
      </c>
    </row>
    <row r="129" spans="1:37" ht="25.5" x14ac:dyDescent="0.25">
      <c r="A129" s="494">
        <v>77</v>
      </c>
      <c r="B129" s="498" t="s">
        <v>751</v>
      </c>
      <c r="C129" s="498" t="s">
        <v>536</v>
      </c>
      <c r="D129" s="501" t="s">
        <v>752</v>
      </c>
      <c r="E129" s="511">
        <v>1</v>
      </c>
      <c r="F129" s="501" t="s">
        <v>754</v>
      </c>
      <c r="G129" s="506">
        <v>3.42</v>
      </c>
      <c r="H129" s="500">
        <f t="shared" si="34"/>
        <v>226198.8</v>
      </c>
      <c r="I129" s="106"/>
      <c r="J129" s="523">
        <f>H129*0.05</f>
        <v>11309.94</v>
      </c>
      <c r="K129" s="224">
        <f t="shared" si="40"/>
        <v>237508.74</v>
      </c>
      <c r="L129" s="511">
        <v>1</v>
      </c>
      <c r="M129" s="501" t="s">
        <v>753</v>
      </c>
      <c r="N129" s="506">
        <v>3.31</v>
      </c>
      <c r="O129" s="512">
        <f t="shared" si="45"/>
        <v>218923.4</v>
      </c>
      <c r="P129" s="512"/>
      <c r="Q129" s="523">
        <f t="shared" si="46"/>
        <v>10946.17</v>
      </c>
      <c r="R129" s="512">
        <f t="shared" si="47"/>
        <v>229869.57</v>
      </c>
      <c r="S129" s="224">
        <f t="shared" si="41"/>
        <v>0</v>
      </c>
      <c r="T129" s="224">
        <f t="shared" si="33"/>
        <v>7275.3999999999942</v>
      </c>
      <c r="U129" s="224">
        <f t="shared" si="33"/>
        <v>0</v>
      </c>
      <c r="V129" s="224">
        <f t="shared" si="33"/>
        <v>363.77000000000044</v>
      </c>
      <c r="W129" s="224">
        <f t="shared" si="44"/>
        <v>7639.1699999999946</v>
      </c>
      <c r="X129" s="511">
        <v>1</v>
      </c>
      <c r="Y129" s="501" t="s">
        <v>755</v>
      </c>
      <c r="Z129" s="506">
        <v>3.42</v>
      </c>
      <c r="AA129" s="500">
        <f t="shared" si="35"/>
        <v>226198.8</v>
      </c>
      <c r="AB129" s="106"/>
      <c r="AC129" s="523">
        <f t="shared" si="48"/>
        <v>11309.94</v>
      </c>
      <c r="AD129" s="224">
        <f t="shared" si="42"/>
        <v>237508.74</v>
      </c>
      <c r="AE129" s="511">
        <v>1</v>
      </c>
      <c r="AF129" s="501" t="s">
        <v>1043</v>
      </c>
      <c r="AG129" s="506">
        <v>3.42</v>
      </c>
      <c r="AH129" s="500">
        <f t="shared" si="36"/>
        <v>226198.8</v>
      </c>
      <c r="AI129" s="106"/>
      <c r="AJ129" s="523">
        <f t="shared" si="49"/>
        <v>11309.94</v>
      </c>
      <c r="AK129" s="224">
        <f t="shared" si="43"/>
        <v>237508.74</v>
      </c>
    </row>
    <row r="130" spans="1:37" ht="25.5" x14ac:dyDescent="0.25">
      <c r="A130" s="494">
        <v>78</v>
      </c>
      <c r="B130" s="498" t="s">
        <v>756</v>
      </c>
      <c r="C130" s="498" t="s">
        <v>536</v>
      </c>
      <c r="D130" s="501" t="s">
        <v>757</v>
      </c>
      <c r="E130" s="511">
        <v>1</v>
      </c>
      <c r="F130" s="501" t="s">
        <v>759</v>
      </c>
      <c r="G130" s="506">
        <v>3.21</v>
      </c>
      <c r="H130" s="500">
        <f t="shared" si="34"/>
        <v>212309.4</v>
      </c>
      <c r="I130" s="106"/>
      <c r="J130" s="523">
        <f>H130*0.05</f>
        <v>10615.470000000001</v>
      </c>
      <c r="K130" s="224">
        <f t="shared" si="40"/>
        <v>222924.87</v>
      </c>
      <c r="L130" s="511">
        <v>1</v>
      </c>
      <c r="M130" s="501" t="s">
        <v>758</v>
      </c>
      <c r="N130" s="506">
        <v>3.11</v>
      </c>
      <c r="O130" s="512">
        <f t="shared" si="45"/>
        <v>205695.4</v>
      </c>
      <c r="P130" s="512"/>
      <c r="Q130" s="523">
        <f t="shared" si="46"/>
        <v>10284.77</v>
      </c>
      <c r="R130" s="512">
        <f t="shared" si="47"/>
        <v>215980.16999999998</v>
      </c>
      <c r="S130" s="224">
        <f t="shared" si="41"/>
        <v>0</v>
      </c>
      <c r="T130" s="224">
        <f t="shared" si="33"/>
        <v>6614</v>
      </c>
      <c r="U130" s="224">
        <f t="shared" si="33"/>
        <v>0</v>
      </c>
      <c r="V130" s="224">
        <f t="shared" si="33"/>
        <v>330.70000000000073</v>
      </c>
      <c r="W130" s="224">
        <f t="shared" si="44"/>
        <v>6944.7000000000007</v>
      </c>
      <c r="X130" s="511">
        <v>1</v>
      </c>
      <c r="Y130" s="501" t="s">
        <v>760</v>
      </c>
      <c r="Z130" s="506">
        <v>3.31</v>
      </c>
      <c r="AA130" s="500">
        <f t="shared" si="35"/>
        <v>218923.4</v>
      </c>
      <c r="AB130" s="106"/>
      <c r="AC130" s="523">
        <f t="shared" si="48"/>
        <v>10946.17</v>
      </c>
      <c r="AD130" s="224">
        <f t="shared" si="42"/>
        <v>229869.57</v>
      </c>
      <c r="AE130" s="511">
        <v>1</v>
      </c>
      <c r="AF130" s="501" t="s">
        <v>1044</v>
      </c>
      <c r="AG130" s="506">
        <v>3.31</v>
      </c>
      <c r="AH130" s="500">
        <f t="shared" si="36"/>
        <v>218923.4</v>
      </c>
      <c r="AI130" s="106"/>
      <c r="AJ130" s="523">
        <f t="shared" si="49"/>
        <v>10946.17</v>
      </c>
      <c r="AK130" s="224">
        <f t="shared" si="43"/>
        <v>229869.57</v>
      </c>
    </row>
    <row r="131" spans="1:37" ht="25.5" x14ac:dyDescent="0.25">
      <c r="A131" s="494">
        <v>79</v>
      </c>
      <c r="B131" s="498" t="s">
        <v>761</v>
      </c>
      <c r="C131" s="498" t="s">
        <v>536</v>
      </c>
      <c r="D131" s="501" t="s">
        <v>762</v>
      </c>
      <c r="E131" s="513">
        <v>1</v>
      </c>
      <c r="F131" s="515" t="s">
        <v>511</v>
      </c>
      <c r="G131" s="516">
        <v>3.11</v>
      </c>
      <c r="H131" s="500">
        <f t="shared" si="34"/>
        <v>205695.4</v>
      </c>
      <c r="I131" s="106"/>
      <c r="J131" s="522"/>
      <c r="K131" s="224">
        <f t="shared" si="40"/>
        <v>205695.4</v>
      </c>
      <c r="L131" s="513">
        <v>1</v>
      </c>
      <c r="M131" s="501" t="s">
        <v>510</v>
      </c>
      <c r="N131" s="506">
        <v>3.11</v>
      </c>
      <c r="O131" s="514">
        <f t="shared" si="45"/>
        <v>205695.4</v>
      </c>
      <c r="P131" s="514"/>
      <c r="Q131" s="523">
        <f t="shared" si="46"/>
        <v>10284.77</v>
      </c>
      <c r="R131" s="514">
        <f t="shared" si="47"/>
        <v>215980.16999999998</v>
      </c>
      <c r="S131" s="224">
        <f t="shared" si="41"/>
        <v>0</v>
      </c>
      <c r="T131" s="224">
        <f t="shared" si="33"/>
        <v>0</v>
      </c>
      <c r="U131" s="224">
        <f t="shared" si="33"/>
        <v>0</v>
      </c>
      <c r="V131" s="224">
        <f t="shared" si="33"/>
        <v>-10284.77</v>
      </c>
      <c r="W131" s="224">
        <f t="shared" si="44"/>
        <v>-10284.77</v>
      </c>
      <c r="X131" s="513">
        <v>1</v>
      </c>
      <c r="Y131" s="515" t="s">
        <v>763</v>
      </c>
      <c r="Z131" s="516">
        <v>3.21</v>
      </c>
      <c r="AA131" s="500">
        <f t="shared" si="35"/>
        <v>212309.4</v>
      </c>
      <c r="AB131" s="106"/>
      <c r="AC131" s="523">
        <f t="shared" si="48"/>
        <v>10615.470000000001</v>
      </c>
      <c r="AD131" s="224">
        <f t="shared" si="42"/>
        <v>222924.87</v>
      </c>
      <c r="AE131" s="513">
        <v>1</v>
      </c>
      <c r="AF131" s="515" t="s">
        <v>1045</v>
      </c>
      <c r="AG131" s="516">
        <v>3.21</v>
      </c>
      <c r="AH131" s="500">
        <f t="shared" si="36"/>
        <v>212309.4</v>
      </c>
      <c r="AI131" s="106"/>
      <c r="AJ131" s="523">
        <f t="shared" si="49"/>
        <v>10615.470000000001</v>
      </c>
      <c r="AK131" s="224">
        <f t="shared" si="43"/>
        <v>222924.87</v>
      </c>
    </row>
    <row r="132" spans="1:37" x14ac:dyDescent="0.25">
      <c r="A132" s="494"/>
      <c r="B132" s="518" t="s">
        <v>169</v>
      </c>
      <c r="C132" s="519" t="s">
        <v>1</v>
      </c>
      <c r="D132" s="519" t="s">
        <v>1</v>
      </c>
      <c r="E132" s="520">
        <f>SUM(E126:E131)</f>
        <v>6</v>
      </c>
      <c r="F132" s="519" t="s">
        <v>1</v>
      </c>
      <c r="G132" s="519" t="s">
        <v>1</v>
      </c>
      <c r="H132" s="520">
        <f>H126+H127+H128+H129+H130+H131</f>
        <v>1407459.1999999997</v>
      </c>
      <c r="I132" s="520">
        <f>I126+I127+I128+I129+I130+I131</f>
        <v>0</v>
      </c>
      <c r="J132" s="520">
        <f>J126+J127+J128+J129+J130+J131</f>
        <v>49803.420000000006</v>
      </c>
      <c r="K132" s="520">
        <f>K126+K127+K128+K129+K130+K131</f>
        <v>1457262.6199999999</v>
      </c>
      <c r="L132" s="520">
        <f>SUM(L126:L131)</f>
        <v>6</v>
      </c>
      <c r="M132" s="519" t="s">
        <v>1</v>
      </c>
      <c r="N132" s="519" t="s">
        <v>1</v>
      </c>
      <c r="O132" s="520">
        <f>SUM(O126:O131)</f>
        <v>1369759.4</v>
      </c>
      <c r="P132" s="520">
        <f>SUM(P126:P131)</f>
        <v>0</v>
      </c>
      <c r="Q132" s="520">
        <f>SUM(Q126:Q131)</f>
        <v>68487.97</v>
      </c>
      <c r="R132" s="520">
        <f>R126+R127+R128+R129+R130+R131</f>
        <v>1438247.3699999999</v>
      </c>
      <c r="S132" s="224">
        <f t="shared" si="41"/>
        <v>0</v>
      </c>
      <c r="T132" s="224">
        <f t="shared" si="33"/>
        <v>37699.799999999814</v>
      </c>
      <c r="U132" s="224">
        <f t="shared" si="33"/>
        <v>0</v>
      </c>
      <c r="V132" s="224">
        <f t="shared" si="33"/>
        <v>-18684.549999999996</v>
      </c>
      <c r="W132" s="224">
        <f t="shared" si="44"/>
        <v>19015.249999999818</v>
      </c>
      <c r="X132" s="520">
        <f>SUM(X126:X131)</f>
        <v>6</v>
      </c>
      <c r="Y132" s="519" t="s">
        <v>1</v>
      </c>
      <c r="Z132" s="519" t="s">
        <v>1</v>
      </c>
      <c r="AA132" s="520">
        <f>SUM(AA126:AA131)</f>
        <v>1420687.1999999997</v>
      </c>
      <c r="AB132" s="520">
        <f>SUM(AB126:AB131)</f>
        <v>0</v>
      </c>
      <c r="AC132" s="520">
        <f>SUM(AC126:AC131)</f>
        <v>71034.36</v>
      </c>
      <c r="AD132" s="520">
        <f>SUM(AD126:AD131)</f>
        <v>1491721.56</v>
      </c>
      <c r="AE132" s="520">
        <f>SUM(AE126:AE131)</f>
        <v>6</v>
      </c>
      <c r="AF132" s="519" t="s">
        <v>1</v>
      </c>
      <c r="AG132" s="519" t="s">
        <v>1</v>
      </c>
      <c r="AH132" s="520">
        <f>SUM(AH126:AH131)</f>
        <v>1420687.1999999997</v>
      </c>
      <c r="AI132" s="520">
        <f>SUM(AI126:AI131)</f>
        <v>0</v>
      </c>
      <c r="AJ132" s="520">
        <f>SUM(AJ126:AJ131)</f>
        <v>71034.36</v>
      </c>
      <c r="AK132" s="520">
        <f>SUM(AK126:AK131)</f>
        <v>1491721.56</v>
      </c>
    </row>
    <row r="133" spans="1:37" ht="13.5" customHeight="1" x14ac:dyDescent="0.25">
      <c r="A133" s="494"/>
      <c r="B133" s="601" t="s">
        <v>764</v>
      </c>
      <c r="C133" s="601"/>
      <c r="D133" s="601"/>
      <c r="E133" s="511"/>
      <c r="F133" s="498"/>
      <c r="G133" s="506"/>
      <c r="H133" s="500">
        <f t="shared" si="34"/>
        <v>0</v>
      </c>
      <c r="I133" s="106"/>
      <c r="J133" s="523"/>
      <c r="K133" s="224">
        <f t="shared" si="40"/>
        <v>0</v>
      </c>
      <c r="L133" s="511"/>
      <c r="M133" s="498"/>
      <c r="N133" s="506"/>
      <c r="O133" s="512"/>
      <c r="P133" s="512"/>
      <c r="Q133" s="523"/>
      <c r="R133" s="512"/>
      <c r="S133" s="224">
        <f t="shared" si="41"/>
        <v>0</v>
      </c>
      <c r="T133" s="224">
        <f t="shared" si="33"/>
        <v>0</v>
      </c>
      <c r="U133" s="224">
        <f t="shared" si="33"/>
        <v>0</v>
      </c>
      <c r="V133" s="224">
        <f t="shared" si="33"/>
        <v>0</v>
      </c>
      <c r="W133" s="224">
        <f t="shared" si="44"/>
        <v>0</v>
      </c>
      <c r="X133" s="511"/>
      <c r="Y133" s="498"/>
      <c r="Z133" s="506"/>
      <c r="AA133" s="500">
        <f t="shared" si="35"/>
        <v>0</v>
      </c>
      <c r="AB133" s="106"/>
      <c r="AC133" s="523"/>
      <c r="AD133" s="224">
        <f t="shared" si="42"/>
        <v>0</v>
      </c>
      <c r="AE133" s="511"/>
      <c r="AF133" s="498"/>
      <c r="AG133" s="506"/>
      <c r="AH133" s="500">
        <f t="shared" si="36"/>
        <v>0</v>
      </c>
      <c r="AI133" s="106"/>
      <c r="AJ133" s="523"/>
      <c r="AK133" s="224">
        <f t="shared" si="43"/>
        <v>0</v>
      </c>
    </row>
    <row r="134" spans="1:37" ht="25.5" x14ac:dyDescent="0.25">
      <c r="A134" s="494">
        <v>80</v>
      </c>
      <c r="B134" s="498" t="s">
        <v>765</v>
      </c>
      <c r="C134" s="498" t="s">
        <v>481</v>
      </c>
      <c r="D134" s="501" t="s">
        <v>766</v>
      </c>
      <c r="E134" s="511">
        <v>1</v>
      </c>
      <c r="F134" s="501" t="s">
        <v>768</v>
      </c>
      <c r="G134" s="506">
        <v>4.8499999999999996</v>
      </c>
      <c r="H134" s="500">
        <f t="shared" si="34"/>
        <v>320779</v>
      </c>
      <c r="I134" s="106"/>
      <c r="J134" s="523">
        <f>H134*0.05</f>
        <v>16038.95</v>
      </c>
      <c r="K134" s="224">
        <f t="shared" si="40"/>
        <v>336817.95</v>
      </c>
      <c r="L134" s="511">
        <v>1</v>
      </c>
      <c r="M134" s="501" t="s">
        <v>767</v>
      </c>
      <c r="N134" s="506">
        <v>4.8499999999999996</v>
      </c>
      <c r="O134" s="512">
        <f>N134*66140</f>
        <v>320779</v>
      </c>
      <c r="P134" s="512"/>
      <c r="Q134" s="523">
        <f>O134*0.05</f>
        <v>16038.95</v>
      </c>
      <c r="R134" s="512">
        <f>O134+P134+Q134</f>
        <v>336817.95</v>
      </c>
      <c r="S134" s="224">
        <f t="shared" si="41"/>
        <v>0</v>
      </c>
      <c r="T134" s="224">
        <f t="shared" si="33"/>
        <v>0</v>
      </c>
      <c r="U134" s="224">
        <f t="shared" si="33"/>
        <v>0</v>
      </c>
      <c r="V134" s="224">
        <f t="shared" si="33"/>
        <v>0</v>
      </c>
      <c r="W134" s="224">
        <f t="shared" si="44"/>
        <v>0</v>
      </c>
      <c r="X134" s="511">
        <v>1</v>
      </c>
      <c r="Y134" s="501" t="s">
        <v>769</v>
      </c>
      <c r="Z134" s="506">
        <v>4.8499999999999996</v>
      </c>
      <c r="AA134" s="500">
        <f t="shared" si="35"/>
        <v>320779</v>
      </c>
      <c r="AB134" s="106"/>
      <c r="AC134" s="523">
        <f>AA134*0.05</f>
        <v>16038.95</v>
      </c>
      <c r="AD134" s="224">
        <f t="shared" si="42"/>
        <v>336817.95</v>
      </c>
      <c r="AE134" s="511">
        <v>1</v>
      </c>
      <c r="AF134" s="501" t="s">
        <v>1046</v>
      </c>
      <c r="AG134" s="506">
        <v>4.8499999999999996</v>
      </c>
      <c r="AH134" s="500">
        <f t="shared" si="36"/>
        <v>320779</v>
      </c>
      <c r="AI134" s="106"/>
      <c r="AJ134" s="523">
        <f>AH134*0.05</f>
        <v>16038.95</v>
      </c>
      <c r="AK134" s="224">
        <f t="shared" si="43"/>
        <v>336817.95</v>
      </c>
    </row>
    <row r="135" spans="1:37" ht="25.5" x14ac:dyDescent="0.25">
      <c r="A135" s="494">
        <v>81</v>
      </c>
      <c r="B135" s="498" t="s">
        <v>770</v>
      </c>
      <c r="C135" s="498" t="s">
        <v>536</v>
      </c>
      <c r="D135" s="501" t="s">
        <v>771</v>
      </c>
      <c r="E135" s="511">
        <v>1</v>
      </c>
      <c r="F135" s="501" t="s">
        <v>773</v>
      </c>
      <c r="G135" s="506">
        <v>3.64</v>
      </c>
      <c r="H135" s="500">
        <f t="shared" si="34"/>
        <v>240749.6</v>
      </c>
      <c r="I135" s="106"/>
      <c r="J135" s="523">
        <f>H135*0.05</f>
        <v>12037.480000000001</v>
      </c>
      <c r="K135" s="224">
        <f t="shared" si="40"/>
        <v>252787.08000000002</v>
      </c>
      <c r="L135" s="511">
        <v>1</v>
      </c>
      <c r="M135" s="501" t="s">
        <v>772</v>
      </c>
      <c r="N135" s="506">
        <v>3.64</v>
      </c>
      <c r="O135" s="512">
        <f>N135*66140</f>
        <v>240749.6</v>
      </c>
      <c r="P135" s="512"/>
      <c r="Q135" s="523">
        <f>O135*0.05</f>
        <v>12037.480000000001</v>
      </c>
      <c r="R135" s="512">
        <f>O135+P135+Q135</f>
        <v>252787.08000000002</v>
      </c>
      <c r="S135" s="224">
        <f t="shared" si="41"/>
        <v>0</v>
      </c>
      <c r="T135" s="224">
        <f t="shared" ref="T135:V198" si="50">H135-O135</f>
        <v>0</v>
      </c>
      <c r="U135" s="224">
        <f t="shared" si="50"/>
        <v>0</v>
      </c>
      <c r="V135" s="224">
        <f t="shared" si="50"/>
        <v>0</v>
      </c>
      <c r="W135" s="224">
        <f t="shared" si="44"/>
        <v>0</v>
      </c>
      <c r="X135" s="511">
        <v>1</v>
      </c>
      <c r="Y135" s="501" t="s">
        <v>774</v>
      </c>
      <c r="Z135" s="506">
        <v>3.64</v>
      </c>
      <c r="AA135" s="500">
        <f t="shared" si="35"/>
        <v>240749.6</v>
      </c>
      <c r="AB135" s="106"/>
      <c r="AC135" s="523">
        <f>AA135*0.05</f>
        <v>12037.480000000001</v>
      </c>
      <c r="AD135" s="224">
        <f t="shared" si="42"/>
        <v>252787.08000000002</v>
      </c>
      <c r="AE135" s="511">
        <v>1</v>
      </c>
      <c r="AF135" s="501" t="s">
        <v>1047</v>
      </c>
      <c r="AG135" s="506">
        <v>3.64</v>
      </c>
      <c r="AH135" s="500">
        <f t="shared" si="36"/>
        <v>240749.6</v>
      </c>
      <c r="AI135" s="106"/>
      <c r="AJ135" s="523">
        <f>AH135*0.05</f>
        <v>12037.480000000001</v>
      </c>
      <c r="AK135" s="224">
        <f t="shared" si="43"/>
        <v>252787.08000000002</v>
      </c>
    </row>
    <row r="136" spans="1:37" ht="25.5" x14ac:dyDescent="0.25">
      <c r="A136" s="494">
        <v>82</v>
      </c>
      <c r="B136" s="517" t="s">
        <v>775</v>
      </c>
      <c r="C136" s="517" t="s">
        <v>491</v>
      </c>
      <c r="D136" s="515" t="s">
        <v>776</v>
      </c>
      <c r="E136" s="511">
        <v>1</v>
      </c>
      <c r="F136" s="501" t="s">
        <v>778</v>
      </c>
      <c r="G136" s="506">
        <v>2.42</v>
      </c>
      <c r="H136" s="500">
        <f t="shared" si="34"/>
        <v>160058.79999999999</v>
      </c>
      <c r="I136" s="106"/>
      <c r="J136" s="523">
        <f>H136*0.05</f>
        <v>8002.94</v>
      </c>
      <c r="K136" s="224">
        <f t="shared" si="40"/>
        <v>168061.74</v>
      </c>
      <c r="L136" s="511">
        <v>1</v>
      </c>
      <c r="M136" s="515" t="s">
        <v>777</v>
      </c>
      <c r="N136" s="516">
        <v>2.42</v>
      </c>
      <c r="O136" s="512">
        <f>N136*66140</f>
        <v>160058.79999999999</v>
      </c>
      <c r="P136" s="512"/>
      <c r="Q136" s="522">
        <f>O136*0.05</f>
        <v>8002.94</v>
      </c>
      <c r="R136" s="512">
        <f>O136+P136+Q136</f>
        <v>168061.74</v>
      </c>
      <c r="S136" s="224">
        <f t="shared" si="41"/>
        <v>0</v>
      </c>
      <c r="T136" s="224">
        <f t="shared" si="50"/>
        <v>0</v>
      </c>
      <c r="U136" s="224">
        <f t="shared" si="50"/>
        <v>0</v>
      </c>
      <c r="V136" s="224">
        <f t="shared" si="50"/>
        <v>0</v>
      </c>
      <c r="W136" s="224">
        <f t="shared" si="44"/>
        <v>0</v>
      </c>
      <c r="X136" s="511">
        <v>1</v>
      </c>
      <c r="Y136" s="501" t="s">
        <v>779</v>
      </c>
      <c r="Z136" s="506">
        <v>2.5</v>
      </c>
      <c r="AA136" s="500">
        <f t="shared" si="35"/>
        <v>165350</v>
      </c>
      <c r="AB136" s="106"/>
      <c r="AC136" s="523">
        <f>AA136*0.05</f>
        <v>8267.5</v>
      </c>
      <c r="AD136" s="224">
        <f t="shared" si="42"/>
        <v>173617.5</v>
      </c>
      <c r="AE136" s="511">
        <v>1</v>
      </c>
      <c r="AF136" s="501" t="s">
        <v>1048</v>
      </c>
      <c r="AG136" s="506">
        <v>2.5</v>
      </c>
      <c r="AH136" s="500">
        <f t="shared" si="36"/>
        <v>165350</v>
      </c>
      <c r="AI136" s="106"/>
      <c r="AJ136" s="523">
        <f>AH136*0.05</f>
        <v>8267.5</v>
      </c>
      <c r="AK136" s="224">
        <f t="shared" si="43"/>
        <v>173617.5</v>
      </c>
    </row>
    <row r="137" spans="1:37" x14ac:dyDescent="0.25">
      <c r="A137" s="494"/>
      <c r="B137" s="518" t="s">
        <v>169</v>
      </c>
      <c r="C137" s="519" t="s">
        <v>1</v>
      </c>
      <c r="D137" s="519" t="s">
        <v>1</v>
      </c>
      <c r="E137" s="520">
        <f>SUM(E134:E136)</f>
        <v>3</v>
      </c>
      <c r="F137" s="519" t="s">
        <v>1</v>
      </c>
      <c r="G137" s="519" t="s">
        <v>1</v>
      </c>
      <c r="H137" s="520">
        <f>SUM(H134:H136)</f>
        <v>721587.39999999991</v>
      </c>
      <c r="I137" s="520">
        <f>SUM(I134:I136)</f>
        <v>0</v>
      </c>
      <c r="J137" s="520">
        <f>SUM(J134:J136)</f>
        <v>36079.370000000003</v>
      </c>
      <c r="K137" s="520">
        <f>SUM(K134:K136)</f>
        <v>757666.77</v>
      </c>
      <c r="L137" s="520">
        <f>SUM(L134:L136)</f>
        <v>3</v>
      </c>
      <c r="M137" s="519" t="s">
        <v>1</v>
      </c>
      <c r="N137" s="519" t="s">
        <v>1</v>
      </c>
      <c r="O137" s="520">
        <f>SUM(O134:O136)</f>
        <v>721587.39999999991</v>
      </c>
      <c r="P137" s="520">
        <f>SUM(P134:P136)</f>
        <v>0</v>
      </c>
      <c r="Q137" s="520">
        <f>SUM(Q134:Q136)</f>
        <v>36079.370000000003</v>
      </c>
      <c r="R137" s="520">
        <f>R134+R135+R136</f>
        <v>757666.77</v>
      </c>
      <c r="S137" s="224">
        <f t="shared" si="41"/>
        <v>0</v>
      </c>
      <c r="T137" s="224">
        <f t="shared" si="50"/>
        <v>0</v>
      </c>
      <c r="U137" s="224">
        <f t="shared" si="50"/>
        <v>0</v>
      </c>
      <c r="V137" s="224">
        <f t="shared" si="50"/>
        <v>0</v>
      </c>
      <c r="W137" s="224">
        <f t="shared" si="44"/>
        <v>0</v>
      </c>
      <c r="X137" s="520">
        <f>SUM(X134:X136)</f>
        <v>3</v>
      </c>
      <c r="Y137" s="519" t="s">
        <v>1</v>
      </c>
      <c r="Z137" s="519" t="s">
        <v>1</v>
      </c>
      <c r="AA137" s="520">
        <f>SUM(AA134:AA136)</f>
        <v>726878.6</v>
      </c>
      <c r="AB137" s="520">
        <f>SUM(AB134:AB136)</f>
        <v>0</v>
      </c>
      <c r="AC137" s="520">
        <f>SUM(AC134:AC136)</f>
        <v>36343.93</v>
      </c>
      <c r="AD137" s="520">
        <f>SUM(AD134:AD136)</f>
        <v>763222.53</v>
      </c>
      <c r="AE137" s="520">
        <f>SUM(AE134:AE136)</f>
        <v>3</v>
      </c>
      <c r="AF137" s="519" t="s">
        <v>1</v>
      </c>
      <c r="AG137" s="519" t="s">
        <v>1</v>
      </c>
      <c r="AH137" s="520">
        <f>SUM(AH134:AH136)</f>
        <v>726878.6</v>
      </c>
      <c r="AI137" s="520">
        <f>SUM(AI134:AI136)</f>
        <v>0</v>
      </c>
      <c r="AJ137" s="520">
        <f>SUM(AJ134:AJ136)</f>
        <v>36343.93</v>
      </c>
      <c r="AK137" s="520">
        <f>SUM(AK134:AK136)</f>
        <v>763222.53</v>
      </c>
    </row>
    <row r="138" spans="1:37" ht="13.5" customHeight="1" x14ac:dyDescent="0.25">
      <c r="A138" s="494"/>
      <c r="B138" s="601" t="s">
        <v>780</v>
      </c>
      <c r="C138" s="601"/>
      <c r="D138" s="601"/>
      <c r="E138" s="511"/>
      <c r="F138" s="498"/>
      <c r="G138" s="506"/>
      <c r="H138" s="500">
        <f t="shared" si="34"/>
        <v>0</v>
      </c>
      <c r="I138" s="106"/>
      <c r="J138" s="523"/>
      <c r="K138" s="224">
        <f t="shared" si="40"/>
        <v>0</v>
      </c>
      <c r="L138" s="511"/>
      <c r="M138" s="498"/>
      <c r="N138" s="506"/>
      <c r="O138" s="512"/>
      <c r="P138" s="512"/>
      <c r="Q138" s="523"/>
      <c r="R138" s="512"/>
      <c r="S138" s="224">
        <f t="shared" si="41"/>
        <v>0</v>
      </c>
      <c r="T138" s="224">
        <f t="shared" si="50"/>
        <v>0</v>
      </c>
      <c r="U138" s="224">
        <f t="shared" si="50"/>
        <v>0</v>
      </c>
      <c r="V138" s="224">
        <f t="shared" si="50"/>
        <v>0</v>
      </c>
      <c r="W138" s="224">
        <f t="shared" si="44"/>
        <v>0</v>
      </c>
      <c r="X138" s="511"/>
      <c r="Y138" s="498"/>
      <c r="Z138" s="506"/>
      <c r="AA138" s="500">
        <f t="shared" si="35"/>
        <v>0</v>
      </c>
      <c r="AB138" s="106"/>
      <c r="AC138" s="523"/>
      <c r="AD138" s="224">
        <f t="shared" si="42"/>
        <v>0</v>
      </c>
      <c r="AE138" s="511"/>
      <c r="AF138" s="498"/>
      <c r="AG138" s="506"/>
      <c r="AH138" s="500">
        <f t="shared" si="36"/>
        <v>0</v>
      </c>
      <c r="AI138" s="106"/>
      <c r="AJ138" s="523"/>
      <c r="AK138" s="224">
        <f t="shared" si="43"/>
        <v>0</v>
      </c>
    </row>
    <row r="139" spans="1:37" x14ac:dyDescent="0.25">
      <c r="A139" s="494">
        <v>83</v>
      </c>
      <c r="B139" s="510" t="s">
        <v>556</v>
      </c>
      <c r="C139" s="498" t="s">
        <v>481</v>
      </c>
      <c r="D139" s="501" t="s">
        <v>781</v>
      </c>
      <c r="E139" s="511">
        <v>1</v>
      </c>
      <c r="F139" s="501"/>
      <c r="G139" s="506">
        <v>4.55</v>
      </c>
      <c r="H139" s="500">
        <f t="shared" si="34"/>
        <v>300937</v>
      </c>
      <c r="I139" s="106"/>
      <c r="J139" s="523"/>
      <c r="K139" s="224">
        <f t="shared" si="40"/>
        <v>300937</v>
      </c>
      <c r="L139" s="511">
        <v>1</v>
      </c>
      <c r="M139" s="501"/>
      <c r="N139" s="506">
        <v>4.55</v>
      </c>
      <c r="O139" s="512">
        <f>N139*66140</f>
        <v>300937</v>
      </c>
      <c r="P139" s="512"/>
      <c r="Q139" s="523"/>
      <c r="R139" s="512">
        <f>O139+P139+Q139</f>
        <v>300937</v>
      </c>
      <c r="S139" s="224">
        <f t="shared" si="41"/>
        <v>0</v>
      </c>
      <c r="T139" s="224">
        <f t="shared" si="50"/>
        <v>0</v>
      </c>
      <c r="U139" s="224">
        <f t="shared" si="50"/>
        <v>0</v>
      </c>
      <c r="V139" s="224">
        <f t="shared" si="50"/>
        <v>0</v>
      </c>
      <c r="W139" s="224">
        <f t="shared" si="44"/>
        <v>0</v>
      </c>
      <c r="X139" s="511">
        <v>1</v>
      </c>
      <c r="Y139" s="501"/>
      <c r="Z139" s="506">
        <v>4.55</v>
      </c>
      <c r="AA139" s="500">
        <f t="shared" si="35"/>
        <v>300937</v>
      </c>
      <c r="AB139" s="106"/>
      <c r="AC139" s="523"/>
      <c r="AD139" s="224">
        <f t="shared" si="42"/>
        <v>300937</v>
      </c>
      <c r="AE139" s="511">
        <v>1</v>
      </c>
      <c r="AF139" s="501"/>
      <c r="AG139" s="506">
        <v>4.55</v>
      </c>
      <c r="AH139" s="500">
        <f t="shared" si="36"/>
        <v>300937</v>
      </c>
      <c r="AI139" s="106"/>
      <c r="AJ139" s="523"/>
      <c r="AK139" s="224">
        <f t="shared" si="43"/>
        <v>300937</v>
      </c>
    </row>
    <row r="140" spans="1:37" ht="25.5" x14ac:dyDescent="0.25">
      <c r="A140" s="494">
        <v>84</v>
      </c>
      <c r="B140" s="517" t="s">
        <v>782</v>
      </c>
      <c r="C140" s="517" t="s">
        <v>536</v>
      </c>
      <c r="D140" s="515" t="s">
        <v>783</v>
      </c>
      <c r="E140" s="513">
        <v>1</v>
      </c>
      <c r="F140" s="515" t="s">
        <v>785</v>
      </c>
      <c r="G140" s="516">
        <v>3.02</v>
      </c>
      <c r="H140" s="500">
        <f t="shared" si="34"/>
        <v>199742.8</v>
      </c>
      <c r="I140" s="106"/>
      <c r="J140" s="522"/>
      <c r="K140" s="224">
        <f t="shared" si="40"/>
        <v>199742.8</v>
      </c>
      <c r="L140" s="513">
        <v>1</v>
      </c>
      <c r="M140" s="515" t="s">
        <v>784</v>
      </c>
      <c r="N140" s="516">
        <v>3.02</v>
      </c>
      <c r="O140" s="514">
        <f>N140*66140</f>
        <v>199742.8</v>
      </c>
      <c r="P140" s="514"/>
      <c r="Q140" s="522"/>
      <c r="R140" s="514">
        <f>O140+P140+Q140</f>
        <v>199742.8</v>
      </c>
      <c r="S140" s="224">
        <f t="shared" si="41"/>
        <v>0</v>
      </c>
      <c r="T140" s="224">
        <f t="shared" si="50"/>
        <v>0</v>
      </c>
      <c r="U140" s="224">
        <f t="shared" si="50"/>
        <v>0</v>
      </c>
      <c r="V140" s="224">
        <f t="shared" si="50"/>
        <v>0</v>
      </c>
      <c r="W140" s="224">
        <f t="shared" si="44"/>
        <v>0</v>
      </c>
      <c r="X140" s="513">
        <v>1</v>
      </c>
      <c r="Y140" s="515" t="s">
        <v>786</v>
      </c>
      <c r="Z140" s="516">
        <v>3.11</v>
      </c>
      <c r="AA140" s="500">
        <f t="shared" si="35"/>
        <v>205695.4</v>
      </c>
      <c r="AB140" s="106"/>
      <c r="AC140" s="523">
        <f>AA140*0.05</f>
        <v>10284.77</v>
      </c>
      <c r="AD140" s="224">
        <f t="shared" si="42"/>
        <v>215980.16999999998</v>
      </c>
      <c r="AE140" s="513">
        <v>1</v>
      </c>
      <c r="AF140" s="515" t="s">
        <v>1049</v>
      </c>
      <c r="AG140" s="516">
        <v>3.21</v>
      </c>
      <c r="AH140" s="500">
        <f t="shared" si="36"/>
        <v>212309.4</v>
      </c>
      <c r="AI140" s="106"/>
      <c r="AJ140" s="523">
        <f>AH140*0.05</f>
        <v>10615.470000000001</v>
      </c>
      <c r="AK140" s="224">
        <f t="shared" si="43"/>
        <v>222924.87</v>
      </c>
    </row>
    <row r="141" spans="1:37" ht="25.5" x14ac:dyDescent="0.25">
      <c r="A141" s="494">
        <v>85</v>
      </c>
      <c r="B141" s="498" t="s">
        <v>787</v>
      </c>
      <c r="C141" s="498" t="s">
        <v>491</v>
      </c>
      <c r="D141" s="501" t="s">
        <v>788</v>
      </c>
      <c r="E141" s="511">
        <v>1</v>
      </c>
      <c r="F141" s="501" t="s">
        <v>790</v>
      </c>
      <c r="G141" s="506">
        <v>2.42</v>
      </c>
      <c r="H141" s="500">
        <f t="shared" si="34"/>
        <v>160058.79999999999</v>
      </c>
      <c r="I141" s="106"/>
      <c r="J141" s="523">
        <f>H141*0.05</f>
        <v>8002.94</v>
      </c>
      <c r="K141" s="224">
        <f t="shared" si="40"/>
        <v>168061.74</v>
      </c>
      <c r="L141" s="511">
        <v>1</v>
      </c>
      <c r="M141" s="501" t="s">
        <v>789</v>
      </c>
      <c r="N141" s="506">
        <v>2.42</v>
      </c>
      <c r="O141" s="512">
        <f>N141*66140</f>
        <v>160058.79999999999</v>
      </c>
      <c r="P141" s="512"/>
      <c r="Q141" s="523">
        <f>O141*0.05</f>
        <v>8002.94</v>
      </c>
      <c r="R141" s="512">
        <f>O141+P141+Q141</f>
        <v>168061.74</v>
      </c>
      <c r="S141" s="224">
        <f t="shared" si="41"/>
        <v>0</v>
      </c>
      <c r="T141" s="224">
        <f t="shared" si="50"/>
        <v>0</v>
      </c>
      <c r="U141" s="224">
        <f t="shared" si="50"/>
        <v>0</v>
      </c>
      <c r="V141" s="224">
        <f t="shared" si="50"/>
        <v>0</v>
      </c>
      <c r="W141" s="224">
        <f t="shared" si="44"/>
        <v>0</v>
      </c>
      <c r="X141" s="511">
        <v>1</v>
      </c>
      <c r="Y141" s="501" t="s">
        <v>791</v>
      </c>
      <c r="Z141" s="506">
        <v>2.42</v>
      </c>
      <c r="AA141" s="500">
        <f t="shared" si="35"/>
        <v>160058.79999999999</v>
      </c>
      <c r="AB141" s="106"/>
      <c r="AC141" s="523">
        <f>AA141*0.05</f>
        <v>8002.94</v>
      </c>
      <c r="AD141" s="224">
        <f t="shared" si="42"/>
        <v>168061.74</v>
      </c>
      <c r="AE141" s="511">
        <v>1</v>
      </c>
      <c r="AF141" s="501" t="s">
        <v>1050</v>
      </c>
      <c r="AG141" s="506">
        <v>2.42</v>
      </c>
      <c r="AH141" s="500">
        <f t="shared" si="36"/>
        <v>160058.79999999999</v>
      </c>
      <c r="AI141" s="106"/>
      <c r="AJ141" s="523">
        <f>AH141*0.05</f>
        <v>8002.94</v>
      </c>
      <c r="AK141" s="224">
        <f t="shared" si="43"/>
        <v>168061.74</v>
      </c>
    </row>
    <row r="142" spans="1:37" ht="25.5" x14ac:dyDescent="0.25">
      <c r="A142" s="494">
        <v>86</v>
      </c>
      <c r="B142" s="517" t="s">
        <v>792</v>
      </c>
      <c r="C142" s="515" t="s">
        <v>497</v>
      </c>
      <c r="D142" s="515" t="s">
        <v>793</v>
      </c>
      <c r="E142" s="513">
        <v>1</v>
      </c>
      <c r="F142" s="515" t="s">
        <v>795</v>
      </c>
      <c r="G142" s="516">
        <v>1.79</v>
      </c>
      <c r="H142" s="500">
        <f t="shared" si="34"/>
        <v>118390.6</v>
      </c>
      <c r="I142" s="106"/>
      <c r="J142" s="522">
        <f>H142*0.05</f>
        <v>5919.5300000000007</v>
      </c>
      <c r="K142" s="224">
        <f t="shared" si="40"/>
        <v>124310.13</v>
      </c>
      <c r="L142" s="513">
        <v>1</v>
      </c>
      <c r="M142" s="515" t="s">
        <v>794</v>
      </c>
      <c r="N142" s="516">
        <v>1.73</v>
      </c>
      <c r="O142" s="514">
        <f>N142*66140</f>
        <v>114422.2</v>
      </c>
      <c r="P142" s="514"/>
      <c r="Q142" s="522">
        <f>O142*0.05</f>
        <v>5721.1100000000006</v>
      </c>
      <c r="R142" s="514">
        <f>O142+P142+Q142</f>
        <v>120143.31</v>
      </c>
      <c r="S142" s="224">
        <f t="shared" si="41"/>
        <v>0</v>
      </c>
      <c r="T142" s="224">
        <f t="shared" si="50"/>
        <v>3968.4000000000087</v>
      </c>
      <c r="U142" s="224">
        <f t="shared" si="50"/>
        <v>0</v>
      </c>
      <c r="V142" s="224">
        <f t="shared" si="50"/>
        <v>198.42000000000007</v>
      </c>
      <c r="W142" s="224">
        <f t="shared" si="44"/>
        <v>4166.8200000000088</v>
      </c>
      <c r="X142" s="513">
        <v>1</v>
      </c>
      <c r="Y142" s="515" t="s">
        <v>796</v>
      </c>
      <c r="Z142" s="516">
        <v>1.79</v>
      </c>
      <c r="AA142" s="500">
        <f t="shared" si="35"/>
        <v>118390.6</v>
      </c>
      <c r="AB142" s="106"/>
      <c r="AC142" s="522">
        <f>AA142*0.05</f>
        <v>5919.5300000000007</v>
      </c>
      <c r="AD142" s="224">
        <f t="shared" si="42"/>
        <v>124310.13</v>
      </c>
      <c r="AE142" s="513">
        <v>1</v>
      </c>
      <c r="AF142" s="515" t="s">
        <v>1051</v>
      </c>
      <c r="AG142" s="516">
        <v>1.79</v>
      </c>
      <c r="AH142" s="500">
        <f t="shared" si="36"/>
        <v>118390.6</v>
      </c>
      <c r="AI142" s="106"/>
      <c r="AJ142" s="522">
        <f>AH142*0.05</f>
        <v>5919.5300000000007</v>
      </c>
      <c r="AK142" s="224">
        <f t="shared" si="43"/>
        <v>124310.13</v>
      </c>
    </row>
    <row r="143" spans="1:37" x14ac:dyDescent="0.25">
      <c r="A143" s="494"/>
      <c r="B143" s="518" t="s">
        <v>169</v>
      </c>
      <c r="C143" s="519" t="s">
        <v>1</v>
      </c>
      <c r="D143" s="519" t="s">
        <v>1</v>
      </c>
      <c r="E143" s="520">
        <f>SUM(E139:E142)</f>
        <v>4</v>
      </c>
      <c r="F143" s="519" t="s">
        <v>1</v>
      </c>
      <c r="G143" s="519" t="s">
        <v>1</v>
      </c>
      <c r="H143" s="520">
        <f>SUM(H139:H142)</f>
        <v>779129.2</v>
      </c>
      <c r="I143" s="520">
        <f>SUM(I139:I142)</f>
        <v>0</v>
      </c>
      <c r="J143" s="520">
        <f>SUM(J139:J142)</f>
        <v>13922.470000000001</v>
      </c>
      <c r="K143" s="520">
        <f>SUM(K139:K142)</f>
        <v>793051.67</v>
      </c>
      <c r="L143" s="520">
        <f>SUM(L139:L142)</f>
        <v>4</v>
      </c>
      <c r="M143" s="519" t="s">
        <v>1</v>
      </c>
      <c r="N143" s="519" t="s">
        <v>1</v>
      </c>
      <c r="O143" s="520">
        <f>SUM(O139:O142)</f>
        <v>775160.79999999993</v>
      </c>
      <c r="P143" s="520">
        <f>SUM(P139:P142)</f>
        <v>0</v>
      </c>
      <c r="Q143" s="520">
        <f>SUM(Q139:Q142)</f>
        <v>13724.05</v>
      </c>
      <c r="R143" s="520">
        <f>SUM(R139:R142)</f>
        <v>788884.85000000009</v>
      </c>
      <c r="S143" s="224">
        <f t="shared" si="41"/>
        <v>0</v>
      </c>
      <c r="T143" s="224">
        <f t="shared" si="50"/>
        <v>3968.4000000000233</v>
      </c>
      <c r="U143" s="224">
        <f t="shared" si="50"/>
        <v>0</v>
      </c>
      <c r="V143" s="224">
        <f t="shared" si="50"/>
        <v>198.42000000000189</v>
      </c>
      <c r="W143" s="224">
        <f t="shared" si="44"/>
        <v>4166.8200000000252</v>
      </c>
      <c r="X143" s="520">
        <f>SUM(X139:X142)</f>
        <v>4</v>
      </c>
      <c r="Y143" s="519" t="s">
        <v>1</v>
      </c>
      <c r="Z143" s="519" t="s">
        <v>1</v>
      </c>
      <c r="AA143" s="520">
        <f>SUM(AA139:AA142)</f>
        <v>785081.79999999993</v>
      </c>
      <c r="AB143" s="520">
        <f>SUM(AB139:AB142)</f>
        <v>0</v>
      </c>
      <c r="AC143" s="520">
        <f>SUM(AC139:AC142)</f>
        <v>24207.239999999998</v>
      </c>
      <c r="AD143" s="520">
        <f>SUM(AD139:AD142)</f>
        <v>809289.03999999992</v>
      </c>
      <c r="AE143" s="520">
        <f>SUM(AE139:AE142)</f>
        <v>4</v>
      </c>
      <c r="AF143" s="519" t="s">
        <v>1</v>
      </c>
      <c r="AG143" s="519" t="s">
        <v>1</v>
      </c>
      <c r="AH143" s="520">
        <f>SUM(AH139:AH142)</f>
        <v>791695.79999999993</v>
      </c>
      <c r="AI143" s="520">
        <f>SUM(AI139:AI142)</f>
        <v>0</v>
      </c>
      <c r="AJ143" s="520">
        <f>SUM(AJ139:AJ142)</f>
        <v>24537.940000000002</v>
      </c>
      <c r="AK143" s="520">
        <f>SUM(AK139:AK142)</f>
        <v>816233.74</v>
      </c>
    </row>
    <row r="144" spans="1:37" x14ac:dyDescent="0.25">
      <c r="A144" s="494"/>
      <c r="B144" s="601" t="s">
        <v>797</v>
      </c>
      <c r="C144" s="601"/>
      <c r="D144" s="601"/>
      <c r="E144" s="511"/>
      <c r="F144" s="498"/>
      <c r="G144" s="506"/>
      <c r="H144" s="500">
        <f t="shared" ref="H144:H203" si="51">G144*66140</f>
        <v>0</v>
      </c>
      <c r="I144" s="106"/>
      <c r="J144" s="523"/>
      <c r="K144" s="224">
        <f t="shared" si="40"/>
        <v>0</v>
      </c>
      <c r="L144" s="511"/>
      <c r="M144" s="498"/>
      <c r="N144" s="506"/>
      <c r="O144" s="512"/>
      <c r="P144" s="512"/>
      <c r="Q144" s="523"/>
      <c r="R144" s="512"/>
      <c r="S144" s="224">
        <f t="shared" si="41"/>
        <v>0</v>
      </c>
      <c r="T144" s="224">
        <f t="shared" si="50"/>
        <v>0</v>
      </c>
      <c r="U144" s="224">
        <f t="shared" si="50"/>
        <v>0</v>
      </c>
      <c r="V144" s="224">
        <f t="shared" si="50"/>
        <v>0</v>
      </c>
      <c r="W144" s="224">
        <f t="shared" si="44"/>
        <v>0</v>
      </c>
      <c r="X144" s="511"/>
      <c r="Y144" s="498"/>
      <c r="Z144" s="506"/>
      <c r="AA144" s="500">
        <f t="shared" ref="AA144:AA203" si="52">Z144*66140</f>
        <v>0</v>
      </c>
      <c r="AB144" s="106"/>
      <c r="AC144" s="523"/>
      <c r="AD144" s="224">
        <f t="shared" si="42"/>
        <v>0</v>
      </c>
      <c r="AE144" s="511"/>
      <c r="AF144" s="498"/>
      <c r="AG144" s="506"/>
      <c r="AH144" s="500">
        <f t="shared" ref="AH144:AH203" si="53">AG144*66140</f>
        <v>0</v>
      </c>
      <c r="AI144" s="106"/>
      <c r="AJ144" s="523"/>
      <c r="AK144" s="224">
        <f t="shared" si="43"/>
        <v>0</v>
      </c>
    </row>
    <row r="145" spans="1:37" ht="25.5" x14ac:dyDescent="0.25">
      <c r="A145" s="494">
        <v>87</v>
      </c>
      <c r="B145" s="517" t="s">
        <v>798</v>
      </c>
      <c r="C145" s="517" t="s">
        <v>481</v>
      </c>
      <c r="D145" s="515" t="s">
        <v>799</v>
      </c>
      <c r="E145" s="511">
        <v>1</v>
      </c>
      <c r="F145" s="501" t="s">
        <v>801</v>
      </c>
      <c r="G145" s="506">
        <v>5.34</v>
      </c>
      <c r="H145" s="500">
        <f t="shared" si="51"/>
        <v>353187.6</v>
      </c>
      <c r="I145" s="106"/>
      <c r="J145" s="523">
        <f>H145*0.05</f>
        <v>17659.38</v>
      </c>
      <c r="K145" s="224">
        <f t="shared" si="40"/>
        <v>370846.98</v>
      </c>
      <c r="L145" s="511">
        <v>1</v>
      </c>
      <c r="M145" s="515" t="s">
        <v>800</v>
      </c>
      <c r="N145" s="516">
        <v>5.34</v>
      </c>
      <c r="O145" s="512">
        <f>N145*66140</f>
        <v>353187.6</v>
      </c>
      <c r="P145" s="512"/>
      <c r="Q145" s="522">
        <f>O145*0.05</f>
        <v>17659.38</v>
      </c>
      <c r="R145" s="512">
        <f>O145+P145+Q145</f>
        <v>370846.98</v>
      </c>
      <c r="S145" s="224">
        <f t="shared" si="41"/>
        <v>0</v>
      </c>
      <c r="T145" s="224">
        <f t="shared" si="50"/>
        <v>0</v>
      </c>
      <c r="U145" s="224">
        <f t="shared" si="50"/>
        <v>0</v>
      </c>
      <c r="V145" s="224">
        <f t="shared" si="50"/>
        <v>0</v>
      </c>
      <c r="W145" s="224">
        <f t="shared" si="44"/>
        <v>0</v>
      </c>
      <c r="X145" s="511">
        <v>1</v>
      </c>
      <c r="Y145" s="501" t="s">
        <v>802</v>
      </c>
      <c r="Z145" s="506">
        <v>5.34</v>
      </c>
      <c r="AA145" s="500">
        <f t="shared" si="52"/>
        <v>353187.6</v>
      </c>
      <c r="AB145" s="106"/>
      <c r="AC145" s="523">
        <f>AA145*0.05</f>
        <v>17659.38</v>
      </c>
      <c r="AD145" s="224">
        <f t="shared" si="42"/>
        <v>370846.98</v>
      </c>
      <c r="AE145" s="511">
        <v>1</v>
      </c>
      <c r="AF145" s="501" t="s">
        <v>1052</v>
      </c>
      <c r="AG145" s="506">
        <v>5.34</v>
      </c>
      <c r="AH145" s="500">
        <f t="shared" si="53"/>
        <v>353187.6</v>
      </c>
      <c r="AI145" s="106"/>
      <c r="AJ145" s="523">
        <f>AH145*0.05</f>
        <v>17659.38</v>
      </c>
      <c r="AK145" s="224">
        <f t="shared" si="43"/>
        <v>370846.98</v>
      </c>
    </row>
    <row r="146" spans="1:37" ht="25.5" x14ac:dyDescent="0.25">
      <c r="A146" s="494">
        <v>88</v>
      </c>
      <c r="B146" s="517" t="s">
        <v>803</v>
      </c>
      <c r="C146" s="517" t="s">
        <v>536</v>
      </c>
      <c r="D146" s="515" t="s">
        <v>804</v>
      </c>
      <c r="E146" s="511">
        <v>1</v>
      </c>
      <c r="F146" s="501" t="s">
        <v>806</v>
      </c>
      <c r="G146" s="506">
        <v>3.11</v>
      </c>
      <c r="H146" s="500">
        <f t="shared" si="51"/>
        <v>205695.4</v>
      </c>
      <c r="I146" s="106"/>
      <c r="J146" s="523">
        <v>10285</v>
      </c>
      <c r="K146" s="224">
        <f t="shared" si="40"/>
        <v>215980.4</v>
      </c>
      <c r="L146" s="511">
        <v>1</v>
      </c>
      <c r="M146" s="515" t="s">
        <v>805</v>
      </c>
      <c r="N146" s="516">
        <v>3.02</v>
      </c>
      <c r="O146" s="512">
        <f>N146*66140</f>
        <v>199742.8</v>
      </c>
      <c r="P146" s="512"/>
      <c r="Q146" s="522">
        <f>O146*0.05</f>
        <v>9987.14</v>
      </c>
      <c r="R146" s="512">
        <f>O146+P146+Q146</f>
        <v>209729.94</v>
      </c>
      <c r="S146" s="224">
        <f t="shared" si="41"/>
        <v>0</v>
      </c>
      <c r="T146" s="224">
        <f t="shared" si="50"/>
        <v>5952.6000000000058</v>
      </c>
      <c r="U146" s="224">
        <f t="shared" si="50"/>
        <v>0</v>
      </c>
      <c r="V146" s="224">
        <f t="shared" si="50"/>
        <v>297.86000000000058</v>
      </c>
      <c r="W146" s="224">
        <f t="shared" si="44"/>
        <v>6250.4600000000064</v>
      </c>
      <c r="X146" s="511">
        <v>1</v>
      </c>
      <c r="Y146" s="501" t="s">
        <v>807</v>
      </c>
      <c r="Z146" s="506">
        <v>3.11</v>
      </c>
      <c r="AA146" s="500">
        <f t="shared" si="52"/>
        <v>205695.4</v>
      </c>
      <c r="AB146" s="106"/>
      <c r="AC146" s="523">
        <f>AA146*0.05</f>
        <v>10284.77</v>
      </c>
      <c r="AD146" s="224">
        <f t="shared" si="42"/>
        <v>215980.16999999998</v>
      </c>
      <c r="AE146" s="511">
        <v>1</v>
      </c>
      <c r="AF146" s="501" t="s">
        <v>1053</v>
      </c>
      <c r="AG146" s="506">
        <v>3.11</v>
      </c>
      <c r="AH146" s="500">
        <f t="shared" si="53"/>
        <v>205695.4</v>
      </c>
      <c r="AI146" s="106"/>
      <c r="AJ146" s="523">
        <f>AH146*0.05</f>
        <v>10284.77</v>
      </c>
      <c r="AK146" s="224">
        <f t="shared" si="43"/>
        <v>215980.16999999998</v>
      </c>
    </row>
    <row r="147" spans="1:37" ht="25.5" x14ac:dyDescent="0.25">
      <c r="A147" s="494">
        <v>89</v>
      </c>
      <c r="B147" s="498" t="s">
        <v>808</v>
      </c>
      <c r="C147" s="498" t="s">
        <v>536</v>
      </c>
      <c r="D147" s="501" t="s">
        <v>809</v>
      </c>
      <c r="E147" s="511">
        <v>1</v>
      </c>
      <c r="F147" s="501" t="s">
        <v>811</v>
      </c>
      <c r="G147" s="506">
        <v>3.02</v>
      </c>
      <c r="H147" s="500">
        <f t="shared" si="51"/>
        <v>199742.8</v>
      </c>
      <c r="I147" s="106"/>
      <c r="J147" s="523"/>
      <c r="K147" s="224">
        <f t="shared" si="40"/>
        <v>199742.8</v>
      </c>
      <c r="L147" s="511">
        <v>1</v>
      </c>
      <c r="M147" s="501" t="s">
        <v>810</v>
      </c>
      <c r="N147" s="506">
        <v>2.75</v>
      </c>
      <c r="O147" s="512">
        <f>N147*66140</f>
        <v>181885</v>
      </c>
      <c r="P147" s="512"/>
      <c r="Q147" s="522"/>
      <c r="R147" s="512">
        <f>O147+P147+Q147</f>
        <v>181885</v>
      </c>
      <c r="S147" s="224">
        <f t="shared" si="41"/>
        <v>0</v>
      </c>
      <c r="T147" s="224">
        <f t="shared" si="50"/>
        <v>17857.799999999988</v>
      </c>
      <c r="U147" s="224">
        <f t="shared" si="50"/>
        <v>0</v>
      </c>
      <c r="V147" s="224">
        <f t="shared" si="50"/>
        <v>0</v>
      </c>
      <c r="W147" s="224">
        <f t="shared" si="44"/>
        <v>17857.799999999988</v>
      </c>
      <c r="X147" s="511">
        <v>1</v>
      </c>
      <c r="Y147" s="501" t="s">
        <v>992</v>
      </c>
      <c r="Z147" s="506">
        <v>2.92</v>
      </c>
      <c r="AA147" s="500">
        <f t="shared" si="52"/>
        <v>193128.8</v>
      </c>
      <c r="AB147" s="106"/>
      <c r="AC147" s="523"/>
      <c r="AD147" s="224">
        <f t="shared" si="42"/>
        <v>193128.8</v>
      </c>
      <c r="AE147" s="511">
        <v>1</v>
      </c>
      <c r="AF147" s="501" t="s">
        <v>1054</v>
      </c>
      <c r="AG147" s="506">
        <v>3.02</v>
      </c>
      <c r="AH147" s="500">
        <f t="shared" si="53"/>
        <v>199742.8</v>
      </c>
      <c r="AI147" s="106"/>
      <c r="AJ147" s="523">
        <f>AH147*0.05</f>
        <v>9987.14</v>
      </c>
      <c r="AK147" s="224">
        <f t="shared" si="43"/>
        <v>209729.94</v>
      </c>
    </row>
    <row r="148" spans="1:37" ht="25.5" x14ac:dyDescent="0.25">
      <c r="A148" s="494">
        <v>90</v>
      </c>
      <c r="B148" s="517" t="s">
        <v>812</v>
      </c>
      <c r="C148" s="517" t="s">
        <v>536</v>
      </c>
      <c r="D148" s="515" t="s">
        <v>813</v>
      </c>
      <c r="E148" s="511">
        <v>1</v>
      </c>
      <c r="F148" s="501" t="s">
        <v>806</v>
      </c>
      <c r="G148" s="506">
        <v>3.11</v>
      </c>
      <c r="H148" s="500">
        <f t="shared" si="51"/>
        <v>205695.4</v>
      </c>
      <c r="I148" s="106"/>
      <c r="J148" s="523">
        <v>10285</v>
      </c>
      <c r="K148" s="224">
        <f t="shared" si="40"/>
        <v>215980.4</v>
      </c>
      <c r="L148" s="511">
        <v>1</v>
      </c>
      <c r="M148" s="515" t="s">
        <v>805</v>
      </c>
      <c r="N148" s="516">
        <v>3.02</v>
      </c>
      <c r="O148" s="512">
        <f>N148*66140</f>
        <v>199742.8</v>
      </c>
      <c r="P148" s="512"/>
      <c r="Q148" s="522">
        <f>O148*0.05</f>
        <v>9987.14</v>
      </c>
      <c r="R148" s="512">
        <f>O148+P148+Q148</f>
        <v>209729.94</v>
      </c>
      <c r="S148" s="224">
        <f t="shared" si="41"/>
        <v>0</v>
      </c>
      <c r="T148" s="224">
        <f t="shared" si="50"/>
        <v>5952.6000000000058</v>
      </c>
      <c r="U148" s="224">
        <f t="shared" si="50"/>
        <v>0</v>
      </c>
      <c r="V148" s="224">
        <f t="shared" si="50"/>
        <v>297.86000000000058</v>
      </c>
      <c r="W148" s="224">
        <f t="shared" si="44"/>
        <v>6250.4600000000064</v>
      </c>
      <c r="X148" s="511">
        <v>1</v>
      </c>
      <c r="Y148" s="501" t="s">
        <v>807</v>
      </c>
      <c r="Z148" s="506">
        <v>3.11</v>
      </c>
      <c r="AA148" s="500">
        <f t="shared" si="52"/>
        <v>205695.4</v>
      </c>
      <c r="AB148" s="106"/>
      <c r="AC148" s="523">
        <f>AA148*0.05</f>
        <v>10284.77</v>
      </c>
      <c r="AD148" s="224">
        <f t="shared" si="42"/>
        <v>215980.16999999998</v>
      </c>
      <c r="AE148" s="511">
        <v>1</v>
      </c>
      <c r="AF148" s="501" t="s">
        <v>1053</v>
      </c>
      <c r="AG148" s="506">
        <v>3.11</v>
      </c>
      <c r="AH148" s="500">
        <f t="shared" si="53"/>
        <v>205695.4</v>
      </c>
      <c r="AI148" s="106"/>
      <c r="AJ148" s="523">
        <f>AH148*0.05</f>
        <v>10284.77</v>
      </c>
      <c r="AK148" s="224">
        <f t="shared" si="43"/>
        <v>215980.16999999998</v>
      </c>
    </row>
    <row r="149" spans="1:37" x14ac:dyDescent="0.25">
      <c r="A149" s="494"/>
      <c r="B149" s="518" t="s">
        <v>169</v>
      </c>
      <c r="C149" s="519" t="s">
        <v>1</v>
      </c>
      <c r="D149" s="519" t="s">
        <v>1</v>
      </c>
      <c r="E149" s="520">
        <f>SUM(E145:E148)</f>
        <v>4</v>
      </c>
      <c r="F149" s="519" t="s">
        <v>1</v>
      </c>
      <c r="G149" s="519" t="s">
        <v>1</v>
      </c>
      <c r="H149" s="520">
        <f>H145+H146+H147+H148</f>
        <v>964321.20000000007</v>
      </c>
      <c r="I149" s="520">
        <f>I145+I146+I147+I148</f>
        <v>0</v>
      </c>
      <c r="J149" s="520">
        <f>J145+J146+J147+J148</f>
        <v>38229.380000000005</v>
      </c>
      <c r="K149" s="520">
        <f>K145+K146+K147+K148</f>
        <v>1002550.58</v>
      </c>
      <c r="L149" s="520">
        <f>SUM(L145:L148)</f>
        <v>4</v>
      </c>
      <c r="M149" s="519" t="s">
        <v>1</v>
      </c>
      <c r="N149" s="519" t="s">
        <v>1</v>
      </c>
      <c r="O149" s="520">
        <f>SUM(O145:O148)</f>
        <v>934558.2</v>
      </c>
      <c r="P149" s="520">
        <f>SUM(P145:P148)</f>
        <v>0</v>
      </c>
      <c r="Q149" s="520">
        <f>SUM(Q145:Q148)</f>
        <v>37633.660000000003</v>
      </c>
      <c r="R149" s="520">
        <f>SUM(R145:R148)</f>
        <v>972191.85999999987</v>
      </c>
      <c r="S149" s="224">
        <f t="shared" si="41"/>
        <v>0</v>
      </c>
      <c r="T149" s="224">
        <f t="shared" si="50"/>
        <v>29763.000000000116</v>
      </c>
      <c r="U149" s="224">
        <f t="shared" si="50"/>
        <v>0</v>
      </c>
      <c r="V149" s="224">
        <f t="shared" si="50"/>
        <v>595.72000000000116</v>
      </c>
      <c r="W149" s="224">
        <f t="shared" si="44"/>
        <v>30358.720000000118</v>
      </c>
      <c r="X149" s="520">
        <f>SUM(X145:X148)</f>
        <v>4</v>
      </c>
      <c r="Y149" s="519" t="s">
        <v>1</v>
      </c>
      <c r="Z149" s="519" t="s">
        <v>1</v>
      </c>
      <c r="AA149" s="520">
        <f>SUM(AA144:AA148)</f>
        <v>957707.20000000007</v>
      </c>
      <c r="AB149" s="520">
        <f>SUM(AB144:AB148)</f>
        <v>0</v>
      </c>
      <c r="AC149" s="520">
        <f>SUM(AC144:AC148)</f>
        <v>38228.92</v>
      </c>
      <c r="AD149" s="520">
        <f>SUM(AD144:AD148)</f>
        <v>995936.11999999988</v>
      </c>
      <c r="AE149" s="520">
        <f>SUM(AE145:AE148)</f>
        <v>4</v>
      </c>
      <c r="AF149" s="519" t="s">
        <v>1</v>
      </c>
      <c r="AG149" s="519" t="s">
        <v>1</v>
      </c>
      <c r="AH149" s="520">
        <f>SUM(AH144:AH148)</f>
        <v>964321.20000000007</v>
      </c>
      <c r="AI149" s="520">
        <f>SUM(AI144:AI148)</f>
        <v>0</v>
      </c>
      <c r="AJ149" s="520">
        <f>SUM(AJ144:AJ148)</f>
        <v>48216.06</v>
      </c>
      <c r="AK149" s="520">
        <f>SUM(AK144:AK148)</f>
        <v>1012537.2599999998</v>
      </c>
    </row>
    <row r="150" spans="1:37" ht="13.5" customHeight="1" x14ac:dyDescent="0.25">
      <c r="A150" s="494"/>
      <c r="B150" s="601" t="s">
        <v>464</v>
      </c>
      <c r="C150" s="601"/>
      <c r="D150" s="601"/>
      <c r="E150" s="511"/>
      <c r="F150" s="498"/>
      <c r="G150" s="506"/>
      <c r="H150" s="500">
        <f t="shared" si="51"/>
        <v>0</v>
      </c>
      <c r="I150" s="106"/>
      <c r="J150" s="523"/>
      <c r="K150" s="224">
        <f t="shared" si="40"/>
        <v>0</v>
      </c>
      <c r="L150" s="511"/>
      <c r="M150" s="498"/>
      <c r="N150" s="506"/>
      <c r="O150" s="512"/>
      <c r="P150" s="512"/>
      <c r="Q150" s="523"/>
      <c r="R150" s="512"/>
      <c r="S150" s="224">
        <f t="shared" si="41"/>
        <v>0</v>
      </c>
      <c r="T150" s="224">
        <f t="shared" si="50"/>
        <v>0</v>
      </c>
      <c r="U150" s="224">
        <f t="shared" si="50"/>
        <v>0</v>
      </c>
      <c r="V150" s="224">
        <f t="shared" si="50"/>
        <v>0</v>
      </c>
      <c r="W150" s="224">
        <f t="shared" si="44"/>
        <v>0</v>
      </c>
      <c r="X150" s="511"/>
      <c r="Y150" s="498"/>
      <c r="Z150" s="506"/>
      <c r="AA150" s="500">
        <f t="shared" si="52"/>
        <v>0</v>
      </c>
      <c r="AB150" s="106"/>
      <c r="AC150" s="523"/>
      <c r="AD150" s="224">
        <f t="shared" si="42"/>
        <v>0</v>
      </c>
      <c r="AE150" s="511"/>
      <c r="AF150" s="498"/>
      <c r="AG150" s="506"/>
      <c r="AH150" s="500">
        <f t="shared" si="53"/>
        <v>0</v>
      </c>
      <c r="AI150" s="106"/>
      <c r="AJ150" s="523"/>
      <c r="AK150" s="224">
        <f t="shared" si="43"/>
        <v>0</v>
      </c>
    </row>
    <row r="151" spans="1:37" ht="25.5" x14ac:dyDescent="0.25">
      <c r="A151" s="494">
        <v>91</v>
      </c>
      <c r="B151" s="517" t="s">
        <v>814</v>
      </c>
      <c r="C151" s="517" t="s">
        <v>481</v>
      </c>
      <c r="D151" s="515" t="s">
        <v>815</v>
      </c>
      <c r="E151" s="511">
        <v>1</v>
      </c>
      <c r="F151" s="501" t="s">
        <v>817</v>
      </c>
      <c r="G151" s="506">
        <v>4.41</v>
      </c>
      <c r="H151" s="500">
        <f t="shared" si="51"/>
        <v>291677.40000000002</v>
      </c>
      <c r="I151" s="106"/>
      <c r="J151" s="523"/>
      <c r="K151" s="224">
        <f t="shared" si="40"/>
        <v>291677.40000000002</v>
      </c>
      <c r="L151" s="511">
        <v>1</v>
      </c>
      <c r="M151" s="515" t="s">
        <v>816</v>
      </c>
      <c r="N151" s="516">
        <v>4.2699999999999996</v>
      </c>
      <c r="O151" s="512">
        <f>N151*66140</f>
        <v>282417.8</v>
      </c>
      <c r="P151" s="512"/>
      <c r="Q151" s="522"/>
      <c r="R151" s="512">
        <f>O151+P151+Q151</f>
        <v>282417.8</v>
      </c>
      <c r="S151" s="224">
        <f t="shared" si="41"/>
        <v>0</v>
      </c>
      <c r="T151" s="224">
        <f t="shared" si="50"/>
        <v>9259.6000000000349</v>
      </c>
      <c r="U151" s="224">
        <f t="shared" si="50"/>
        <v>0</v>
      </c>
      <c r="V151" s="224">
        <f t="shared" si="50"/>
        <v>0</v>
      </c>
      <c r="W151" s="224">
        <f t="shared" si="44"/>
        <v>9259.6000000000349</v>
      </c>
      <c r="X151" s="511">
        <v>1</v>
      </c>
      <c r="Y151" s="501" t="s">
        <v>818</v>
      </c>
      <c r="Z151" s="506">
        <v>4.41</v>
      </c>
      <c r="AA151" s="500">
        <f t="shared" si="52"/>
        <v>291677.40000000002</v>
      </c>
      <c r="AB151" s="106"/>
      <c r="AC151" s="523"/>
      <c r="AD151" s="224">
        <f t="shared" si="42"/>
        <v>291677.40000000002</v>
      </c>
      <c r="AE151" s="511">
        <v>1</v>
      </c>
      <c r="AF151" s="501" t="s">
        <v>1055</v>
      </c>
      <c r="AG151" s="506">
        <v>4.41</v>
      </c>
      <c r="AH151" s="500">
        <f t="shared" si="53"/>
        <v>291677.40000000002</v>
      </c>
      <c r="AI151" s="106"/>
      <c r="AJ151" s="523"/>
      <c r="AK151" s="224">
        <f t="shared" si="43"/>
        <v>291677.40000000002</v>
      </c>
    </row>
    <row r="152" spans="1:37" ht="25.5" x14ac:dyDescent="0.25">
      <c r="A152" s="494">
        <v>92</v>
      </c>
      <c r="B152" s="525" t="s">
        <v>964</v>
      </c>
      <c r="C152" s="498" t="s">
        <v>536</v>
      </c>
      <c r="D152" s="501" t="s">
        <v>819</v>
      </c>
      <c r="E152" s="511">
        <v>1</v>
      </c>
      <c r="F152" s="501" t="s">
        <v>965</v>
      </c>
      <c r="G152" s="506">
        <v>2.75</v>
      </c>
      <c r="H152" s="500">
        <f t="shared" si="51"/>
        <v>181885</v>
      </c>
      <c r="I152" s="106"/>
      <c r="J152" s="523"/>
      <c r="K152" s="224">
        <f t="shared" si="40"/>
        <v>181885</v>
      </c>
      <c r="L152" s="511">
        <v>1</v>
      </c>
      <c r="M152" s="501" t="s">
        <v>820</v>
      </c>
      <c r="N152" s="506">
        <v>2.66</v>
      </c>
      <c r="O152" s="512">
        <f>N152*66140</f>
        <v>175932.40000000002</v>
      </c>
      <c r="P152" s="512"/>
      <c r="Q152" s="523"/>
      <c r="R152" s="512">
        <f>O152+P152+Q152</f>
        <v>175932.40000000002</v>
      </c>
      <c r="S152" s="224">
        <f t="shared" si="41"/>
        <v>0</v>
      </c>
      <c r="T152" s="224">
        <f t="shared" si="50"/>
        <v>5952.5999999999767</v>
      </c>
      <c r="U152" s="224">
        <f t="shared" si="50"/>
        <v>0</v>
      </c>
      <c r="V152" s="224">
        <f t="shared" si="50"/>
        <v>0</v>
      </c>
      <c r="W152" s="224">
        <f t="shared" si="44"/>
        <v>5952.5999999999767</v>
      </c>
      <c r="X152" s="511">
        <v>1</v>
      </c>
      <c r="Y152" s="501" t="s">
        <v>821</v>
      </c>
      <c r="Z152" s="506">
        <v>3.11</v>
      </c>
      <c r="AA152" s="500">
        <f t="shared" si="52"/>
        <v>205695.4</v>
      </c>
      <c r="AB152" s="106"/>
      <c r="AC152" s="523"/>
      <c r="AD152" s="224">
        <f t="shared" si="42"/>
        <v>205695.4</v>
      </c>
      <c r="AE152" s="511">
        <v>1</v>
      </c>
      <c r="AF152" s="501" t="s">
        <v>1056</v>
      </c>
      <c r="AG152" s="506">
        <v>3.21</v>
      </c>
      <c r="AH152" s="500">
        <f t="shared" si="53"/>
        <v>212309.4</v>
      </c>
      <c r="AI152" s="106"/>
      <c r="AJ152" s="523"/>
      <c r="AK152" s="224">
        <f t="shared" si="43"/>
        <v>212309.4</v>
      </c>
    </row>
    <row r="153" spans="1:37" x14ac:dyDescent="0.25">
      <c r="A153" s="494"/>
      <c r="B153" s="518" t="s">
        <v>169</v>
      </c>
      <c r="C153" s="519" t="s">
        <v>1</v>
      </c>
      <c r="D153" s="519" t="s">
        <v>1</v>
      </c>
      <c r="E153" s="520">
        <f>SUM(E151:E152)</f>
        <v>2</v>
      </c>
      <c r="F153" s="519" t="s">
        <v>1</v>
      </c>
      <c r="G153" s="519" t="s">
        <v>1</v>
      </c>
      <c r="H153" s="520">
        <f>SUM(H151:H152)</f>
        <v>473562.4</v>
      </c>
      <c r="I153" s="520">
        <f>SUM(I151:I152)</f>
        <v>0</v>
      </c>
      <c r="J153" s="520">
        <f>SUM(J151:J152)</f>
        <v>0</v>
      </c>
      <c r="K153" s="520">
        <f>SUM(K151:K152)</f>
        <v>473562.4</v>
      </c>
      <c r="L153" s="520">
        <f>SUM(L151:L152)</f>
        <v>2</v>
      </c>
      <c r="M153" s="519" t="s">
        <v>1</v>
      </c>
      <c r="N153" s="519" t="s">
        <v>1</v>
      </c>
      <c r="O153" s="520">
        <f>SUM(O151:O152)</f>
        <v>458350.2</v>
      </c>
      <c r="P153" s="520">
        <f>SUM(P151:P152)</f>
        <v>0</v>
      </c>
      <c r="Q153" s="520">
        <f>SUM(Q151:Q152)</f>
        <v>0</v>
      </c>
      <c r="R153" s="520">
        <f>SUM(R151:R152)</f>
        <v>458350.2</v>
      </c>
      <c r="S153" s="224">
        <f t="shared" si="41"/>
        <v>0</v>
      </c>
      <c r="T153" s="224">
        <f t="shared" si="50"/>
        <v>15212.200000000012</v>
      </c>
      <c r="U153" s="224">
        <f t="shared" si="50"/>
        <v>0</v>
      </c>
      <c r="V153" s="224">
        <f t="shared" si="50"/>
        <v>0</v>
      </c>
      <c r="W153" s="224">
        <f t="shared" si="44"/>
        <v>15212.200000000012</v>
      </c>
      <c r="X153" s="520">
        <f>SUM(X151:X152)</f>
        <v>2</v>
      </c>
      <c r="Y153" s="519" t="s">
        <v>1</v>
      </c>
      <c r="Z153" s="519" t="s">
        <v>1</v>
      </c>
      <c r="AA153" s="520">
        <f>SUM(AA151:AA152)</f>
        <v>497372.80000000005</v>
      </c>
      <c r="AB153" s="520">
        <f>SUM(AB151:AB152)</f>
        <v>0</v>
      </c>
      <c r="AC153" s="520">
        <f>SUM(AC151:AC152)</f>
        <v>0</v>
      </c>
      <c r="AD153" s="520">
        <f>SUM(AD151:AD152)</f>
        <v>497372.80000000005</v>
      </c>
      <c r="AE153" s="520">
        <f>SUM(AE151:AE152)</f>
        <v>2</v>
      </c>
      <c r="AF153" s="519" t="s">
        <v>1</v>
      </c>
      <c r="AG153" s="519" t="s">
        <v>1</v>
      </c>
      <c r="AH153" s="520">
        <f>SUM(AH151:AH152)</f>
        <v>503986.80000000005</v>
      </c>
      <c r="AI153" s="520">
        <f>SUM(AI151:AI152)</f>
        <v>0</v>
      </c>
      <c r="AJ153" s="520">
        <f>SUM(AJ151:AJ152)</f>
        <v>0</v>
      </c>
      <c r="AK153" s="520">
        <f>SUM(AK151:AK152)</f>
        <v>503986.80000000005</v>
      </c>
    </row>
    <row r="154" spans="1:37" ht="13.5" customHeight="1" x14ac:dyDescent="0.25">
      <c r="A154" s="494"/>
      <c r="B154" s="601" t="s">
        <v>822</v>
      </c>
      <c r="C154" s="601"/>
      <c r="D154" s="601"/>
      <c r="E154" s="511"/>
      <c r="F154" s="498"/>
      <c r="G154" s="506"/>
      <c r="H154" s="500">
        <f t="shared" si="51"/>
        <v>0</v>
      </c>
      <c r="I154" s="106"/>
      <c r="J154" s="523"/>
      <c r="K154" s="224">
        <f t="shared" ref="K154:K208" si="54">H154+I154+J154</f>
        <v>0</v>
      </c>
      <c r="L154" s="511"/>
      <c r="M154" s="498"/>
      <c r="N154" s="506"/>
      <c r="O154" s="512"/>
      <c r="P154" s="512"/>
      <c r="Q154" s="523"/>
      <c r="R154" s="512"/>
      <c r="S154" s="224">
        <f t="shared" si="41"/>
        <v>0</v>
      </c>
      <c r="T154" s="224">
        <f t="shared" si="50"/>
        <v>0</v>
      </c>
      <c r="U154" s="224">
        <f t="shared" si="50"/>
        <v>0</v>
      </c>
      <c r="V154" s="224">
        <f t="shared" si="50"/>
        <v>0</v>
      </c>
      <c r="W154" s="224">
        <f t="shared" si="44"/>
        <v>0</v>
      </c>
      <c r="X154" s="511"/>
      <c r="Y154" s="498"/>
      <c r="Z154" s="506"/>
      <c r="AA154" s="500">
        <f t="shared" si="52"/>
        <v>0</v>
      </c>
      <c r="AB154" s="106"/>
      <c r="AC154" s="523"/>
      <c r="AD154" s="224">
        <f t="shared" si="42"/>
        <v>0</v>
      </c>
      <c r="AE154" s="511"/>
      <c r="AF154" s="498"/>
      <c r="AG154" s="506"/>
      <c r="AH154" s="500">
        <f t="shared" si="53"/>
        <v>0</v>
      </c>
      <c r="AI154" s="106"/>
      <c r="AJ154" s="523"/>
      <c r="AK154" s="224">
        <f t="shared" si="43"/>
        <v>0</v>
      </c>
    </row>
    <row r="155" spans="1:37" x14ac:dyDescent="0.25">
      <c r="A155" s="494">
        <v>93</v>
      </c>
      <c r="B155" s="498" t="s">
        <v>556</v>
      </c>
      <c r="C155" s="498" t="s">
        <v>677</v>
      </c>
      <c r="D155" s="501" t="s">
        <v>823</v>
      </c>
      <c r="E155" s="511">
        <v>1</v>
      </c>
      <c r="F155" s="501"/>
      <c r="G155" s="506">
        <v>3.76</v>
      </c>
      <c r="H155" s="500">
        <f t="shared" si="51"/>
        <v>248686.4</v>
      </c>
      <c r="I155" s="106"/>
      <c r="J155" s="523"/>
      <c r="K155" s="224">
        <f t="shared" si="54"/>
        <v>248686.4</v>
      </c>
      <c r="L155" s="511">
        <v>1</v>
      </c>
      <c r="M155" s="501"/>
      <c r="N155" s="506">
        <v>3.76</v>
      </c>
      <c r="O155" s="512">
        <f t="shared" ref="O155:O167" si="55">N155*66140</f>
        <v>248686.4</v>
      </c>
      <c r="P155" s="512"/>
      <c r="Q155" s="523"/>
      <c r="R155" s="512">
        <f t="shared" ref="R155:R167" si="56">O155+P155+Q155</f>
        <v>248686.4</v>
      </c>
      <c r="S155" s="224">
        <f t="shared" si="41"/>
        <v>0</v>
      </c>
      <c r="T155" s="224">
        <f t="shared" si="50"/>
        <v>0</v>
      </c>
      <c r="U155" s="224">
        <f t="shared" si="50"/>
        <v>0</v>
      </c>
      <c r="V155" s="224">
        <f t="shared" si="50"/>
        <v>0</v>
      </c>
      <c r="W155" s="224">
        <f t="shared" si="44"/>
        <v>0</v>
      </c>
      <c r="X155" s="511">
        <v>1</v>
      </c>
      <c r="Y155" s="501"/>
      <c r="Z155" s="506">
        <v>3.76</v>
      </c>
      <c r="AA155" s="500">
        <f t="shared" si="52"/>
        <v>248686.4</v>
      </c>
      <c r="AB155" s="106"/>
      <c r="AC155" s="523"/>
      <c r="AD155" s="224">
        <f t="shared" si="42"/>
        <v>248686.4</v>
      </c>
      <c r="AE155" s="511">
        <v>1</v>
      </c>
      <c r="AF155" s="501"/>
      <c r="AG155" s="506">
        <v>3.76</v>
      </c>
      <c r="AH155" s="500">
        <f t="shared" si="53"/>
        <v>248686.4</v>
      </c>
      <c r="AI155" s="106"/>
      <c r="AJ155" s="523"/>
      <c r="AK155" s="224">
        <f t="shared" si="43"/>
        <v>248686.4</v>
      </c>
    </row>
    <row r="156" spans="1:37" x14ac:dyDescent="0.25">
      <c r="A156" s="494">
        <v>94</v>
      </c>
      <c r="B156" s="498" t="s">
        <v>556</v>
      </c>
      <c r="C156" s="498" t="s">
        <v>536</v>
      </c>
      <c r="D156" s="501" t="s">
        <v>824</v>
      </c>
      <c r="E156" s="511">
        <v>1</v>
      </c>
      <c r="F156" s="501"/>
      <c r="G156" s="506">
        <v>2.66</v>
      </c>
      <c r="H156" s="500">
        <f t="shared" si="51"/>
        <v>175932.40000000002</v>
      </c>
      <c r="I156" s="106"/>
      <c r="J156" s="523"/>
      <c r="K156" s="224">
        <f t="shared" si="54"/>
        <v>175932.40000000002</v>
      </c>
      <c r="L156" s="511">
        <v>1</v>
      </c>
      <c r="M156" s="501"/>
      <c r="N156" s="506">
        <v>2.66</v>
      </c>
      <c r="O156" s="512">
        <f t="shared" si="55"/>
        <v>175932.40000000002</v>
      </c>
      <c r="P156" s="512"/>
      <c r="Q156" s="523"/>
      <c r="R156" s="512">
        <f t="shared" si="56"/>
        <v>175932.40000000002</v>
      </c>
      <c r="S156" s="224">
        <f t="shared" si="41"/>
        <v>0</v>
      </c>
      <c r="T156" s="224">
        <f t="shared" si="50"/>
        <v>0</v>
      </c>
      <c r="U156" s="224">
        <f t="shared" si="50"/>
        <v>0</v>
      </c>
      <c r="V156" s="224">
        <f t="shared" si="50"/>
        <v>0</v>
      </c>
      <c r="W156" s="224">
        <f t="shared" si="44"/>
        <v>0</v>
      </c>
      <c r="X156" s="511">
        <v>1</v>
      </c>
      <c r="Y156" s="501"/>
      <c r="Z156" s="506">
        <v>2.66</v>
      </c>
      <c r="AA156" s="500">
        <f t="shared" si="52"/>
        <v>175932.40000000002</v>
      </c>
      <c r="AB156" s="106"/>
      <c r="AC156" s="523"/>
      <c r="AD156" s="224">
        <f t="shared" si="42"/>
        <v>175932.40000000002</v>
      </c>
      <c r="AE156" s="511">
        <v>1</v>
      </c>
      <c r="AF156" s="501"/>
      <c r="AG156" s="506">
        <v>2.66</v>
      </c>
      <c r="AH156" s="500">
        <f t="shared" si="53"/>
        <v>175932.40000000002</v>
      </c>
      <c r="AI156" s="106"/>
      <c r="AJ156" s="523"/>
      <c r="AK156" s="224">
        <f t="shared" si="43"/>
        <v>175932.40000000002</v>
      </c>
    </row>
    <row r="157" spans="1:37" ht="25.5" x14ac:dyDescent="0.25">
      <c r="A157" s="494">
        <v>95</v>
      </c>
      <c r="B157" s="526" t="s">
        <v>825</v>
      </c>
      <c r="C157" s="498" t="s">
        <v>491</v>
      </c>
      <c r="D157" s="501" t="s">
        <v>826</v>
      </c>
      <c r="E157" s="511">
        <v>1</v>
      </c>
      <c r="F157" s="501" t="s">
        <v>828</v>
      </c>
      <c r="G157" s="506">
        <v>2.2799999999999998</v>
      </c>
      <c r="H157" s="500">
        <f t="shared" si="51"/>
        <v>150799.19999999998</v>
      </c>
      <c r="I157" s="106"/>
      <c r="J157" s="523">
        <f>H157*0.05</f>
        <v>7539.9599999999991</v>
      </c>
      <c r="K157" s="224">
        <f t="shared" si="54"/>
        <v>158339.15999999997</v>
      </c>
      <c r="L157" s="511">
        <v>1</v>
      </c>
      <c r="M157" s="501" t="s">
        <v>827</v>
      </c>
      <c r="N157" s="506">
        <v>2.21</v>
      </c>
      <c r="O157" s="512">
        <f t="shared" si="55"/>
        <v>146169.4</v>
      </c>
      <c r="P157" s="512"/>
      <c r="Q157" s="523">
        <f>O157*0.05</f>
        <v>7308.47</v>
      </c>
      <c r="R157" s="512">
        <f t="shared" si="56"/>
        <v>153477.87</v>
      </c>
      <c r="S157" s="224">
        <f t="shared" si="41"/>
        <v>0</v>
      </c>
      <c r="T157" s="224">
        <f t="shared" si="50"/>
        <v>4629.7999999999884</v>
      </c>
      <c r="U157" s="224">
        <f t="shared" si="50"/>
        <v>0</v>
      </c>
      <c r="V157" s="224">
        <f t="shared" si="50"/>
        <v>231.48999999999887</v>
      </c>
      <c r="W157" s="224">
        <f t="shared" si="44"/>
        <v>4861.2899999999872</v>
      </c>
      <c r="X157" s="511">
        <v>1</v>
      </c>
      <c r="Y157" s="501" t="s">
        <v>829</v>
      </c>
      <c r="Z157" s="506">
        <v>2.2799999999999998</v>
      </c>
      <c r="AA157" s="500">
        <f t="shared" si="52"/>
        <v>150799.19999999998</v>
      </c>
      <c r="AB157" s="106"/>
      <c r="AC157" s="523">
        <f>AA157*0.05</f>
        <v>7539.9599999999991</v>
      </c>
      <c r="AD157" s="224">
        <f t="shared" si="42"/>
        <v>158339.15999999997</v>
      </c>
      <c r="AE157" s="511">
        <v>1</v>
      </c>
      <c r="AF157" s="501" t="s">
        <v>1057</v>
      </c>
      <c r="AG157" s="506">
        <v>2.2799999999999998</v>
      </c>
      <c r="AH157" s="500">
        <f t="shared" si="53"/>
        <v>150799.19999999998</v>
      </c>
      <c r="AI157" s="106"/>
      <c r="AJ157" s="523">
        <f t="shared" ref="AJ157:AJ163" si="57">AH157*0.05</f>
        <v>7539.9599999999991</v>
      </c>
      <c r="AK157" s="224">
        <f t="shared" si="43"/>
        <v>158339.15999999997</v>
      </c>
    </row>
    <row r="158" spans="1:37" ht="25.5" x14ac:dyDescent="0.25">
      <c r="A158" s="494">
        <v>96</v>
      </c>
      <c r="B158" s="498" t="s">
        <v>830</v>
      </c>
      <c r="C158" s="498" t="s">
        <v>491</v>
      </c>
      <c r="D158" s="501" t="s">
        <v>831</v>
      </c>
      <c r="E158" s="511">
        <v>1</v>
      </c>
      <c r="F158" s="501" t="s">
        <v>833</v>
      </c>
      <c r="G158" s="506">
        <v>2.21</v>
      </c>
      <c r="H158" s="500">
        <f t="shared" si="51"/>
        <v>146169.4</v>
      </c>
      <c r="I158" s="106"/>
      <c r="J158" s="523">
        <f>H158*0.05</f>
        <v>7308.47</v>
      </c>
      <c r="K158" s="224">
        <f t="shared" si="54"/>
        <v>153477.87</v>
      </c>
      <c r="L158" s="511">
        <v>1</v>
      </c>
      <c r="M158" s="501" t="s">
        <v>832</v>
      </c>
      <c r="N158" s="506">
        <v>2.14</v>
      </c>
      <c r="O158" s="512">
        <f t="shared" si="55"/>
        <v>141539.6</v>
      </c>
      <c r="P158" s="512"/>
      <c r="Q158" s="523">
        <f>O158*0.05</f>
        <v>7076.9800000000005</v>
      </c>
      <c r="R158" s="512">
        <f t="shared" si="56"/>
        <v>148616.58000000002</v>
      </c>
      <c r="S158" s="224">
        <f t="shared" si="41"/>
        <v>0</v>
      </c>
      <c r="T158" s="224">
        <f t="shared" si="50"/>
        <v>4629.7999999999884</v>
      </c>
      <c r="U158" s="224">
        <f t="shared" si="50"/>
        <v>0</v>
      </c>
      <c r="V158" s="224">
        <f t="shared" si="50"/>
        <v>231.48999999999978</v>
      </c>
      <c r="W158" s="224">
        <f t="shared" si="44"/>
        <v>4861.2899999999881</v>
      </c>
      <c r="X158" s="511">
        <v>1</v>
      </c>
      <c r="Y158" s="501" t="s">
        <v>834</v>
      </c>
      <c r="Z158" s="506">
        <v>2.21</v>
      </c>
      <c r="AA158" s="500">
        <f t="shared" si="52"/>
        <v>146169.4</v>
      </c>
      <c r="AB158" s="106"/>
      <c r="AC158" s="523">
        <f>AA158*0.05</f>
        <v>7308.47</v>
      </c>
      <c r="AD158" s="224">
        <f t="shared" si="42"/>
        <v>153477.87</v>
      </c>
      <c r="AE158" s="511">
        <v>1</v>
      </c>
      <c r="AF158" s="501" t="s">
        <v>1058</v>
      </c>
      <c r="AG158" s="506">
        <v>2.21</v>
      </c>
      <c r="AH158" s="500">
        <f t="shared" si="53"/>
        <v>146169.4</v>
      </c>
      <c r="AI158" s="106"/>
      <c r="AJ158" s="523">
        <f t="shared" si="57"/>
        <v>7308.47</v>
      </c>
      <c r="AK158" s="224">
        <f t="shared" si="43"/>
        <v>153477.87</v>
      </c>
    </row>
    <row r="159" spans="1:37" x14ac:dyDescent="0.25">
      <c r="A159" s="494">
        <v>97</v>
      </c>
      <c r="B159" s="498" t="s">
        <v>556</v>
      </c>
      <c r="C159" s="498" t="s">
        <v>491</v>
      </c>
      <c r="D159" s="501" t="s">
        <v>835</v>
      </c>
      <c r="E159" s="511">
        <v>1</v>
      </c>
      <c r="F159" s="501"/>
      <c r="G159" s="506">
        <v>1.96</v>
      </c>
      <c r="H159" s="500">
        <f t="shared" si="51"/>
        <v>129634.4</v>
      </c>
      <c r="I159" s="106"/>
      <c r="J159" s="523"/>
      <c r="K159" s="224">
        <f t="shared" si="54"/>
        <v>129634.4</v>
      </c>
      <c r="L159" s="511">
        <v>1</v>
      </c>
      <c r="M159" s="501"/>
      <c r="N159" s="506">
        <v>1.96</v>
      </c>
      <c r="O159" s="512">
        <f t="shared" si="55"/>
        <v>129634.4</v>
      </c>
      <c r="P159" s="512"/>
      <c r="Q159" s="523"/>
      <c r="R159" s="512">
        <f t="shared" si="56"/>
        <v>129634.4</v>
      </c>
      <c r="S159" s="224">
        <f t="shared" si="41"/>
        <v>0</v>
      </c>
      <c r="T159" s="224">
        <f t="shared" si="50"/>
        <v>0</v>
      </c>
      <c r="U159" s="224">
        <f t="shared" si="50"/>
        <v>0</v>
      </c>
      <c r="V159" s="224">
        <f t="shared" si="50"/>
        <v>0</v>
      </c>
      <c r="W159" s="224">
        <f t="shared" si="44"/>
        <v>0</v>
      </c>
      <c r="X159" s="511">
        <v>1</v>
      </c>
      <c r="Y159" s="501"/>
      <c r="Z159" s="506">
        <v>1.96</v>
      </c>
      <c r="AA159" s="500">
        <f t="shared" si="52"/>
        <v>129634.4</v>
      </c>
      <c r="AB159" s="106"/>
      <c r="AC159" s="523"/>
      <c r="AD159" s="224">
        <f t="shared" si="42"/>
        <v>129634.4</v>
      </c>
      <c r="AE159" s="511">
        <v>1</v>
      </c>
      <c r="AF159" s="501"/>
      <c r="AG159" s="506">
        <v>1.96</v>
      </c>
      <c r="AH159" s="500">
        <f t="shared" si="53"/>
        <v>129634.4</v>
      </c>
      <c r="AI159" s="106"/>
      <c r="AJ159" s="523"/>
      <c r="AK159" s="224">
        <f t="shared" si="43"/>
        <v>129634.4</v>
      </c>
    </row>
    <row r="160" spans="1:37" x14ac:dyDescent="0.25">
      <c r="A160" s="494">
        <v>98</v>
      </c>
      <c r="B160" s="498" t="s">
        <v>556</v>
      </c>
      <c r="C160" s="498" t="s">
        <v>491</v>
      </c>
      <c r="D160" s="501" t="s">
        <v>836</v>
      </c>
      <c r="E160" s="511">
        <v>1</v>
      </c>
      <c r="F160" s="501"/>
      <c r="G160" s="506">
        <v>1.96</v>
      </c>
      <c r="H160" s="500">
        <f t="shared" si="51"/>
        <v>129634.4</v>
      </c>
      <c r="I160" s="106"/>
      <c r="J160" s="523"/>
      <c r="K160" s="224">
        <f t="shared" si="54"/>
        <v>129634.4</v>
      </c>
      <c r="L160" s="511">
        <v>1</v>
      </c>
      <c r="M160" s="501"/>
      <c r="N160" s="506">
        <v>1.96</v>
      </c>
      <c r="O160" s="512">
        <f t="shared" si="55"/>
        <v>129634.4</v>
      </c>
      <c r="P160" s="512"/>
      <c r="Q160" s="523"/>
      <c r="R160" s="512">
        <f t="shared" si="56"/>
        <v>129634.4</v>
      </c>
      <c r="S160" s="224">
        <f t="shared" si="41"/>
        <v>0</v>
      </c>
      <c r="T160" s="224">
        <f t="shared" si="50"/>
        <v>0</v>
      </c>
      <c r="U160" s="224">
        <f t="shared" si="50"/>
        <v>0</v>
      </c>
      <c r="V160" s="224">
        <f t="shared" si="50"/>
        <v>0</v>
      </c>
      <c r="W160" s="224">
        <f t="shared" si="44"/>
        <v>0</v>
      </c>
      <c r="X160" s="511">
        <v>1</v>
      </c>
      <c r="Y160" s="501"/>
      <c r="Z160" s="506">
        <v>1.96</v>
      </c>
      <c r="AA160" s="500">
        <f t="shared" si="52"/>
        <v>129634.4</v>
      </c>
      <c r="AB160" s="106"/>
      <c r="AC160" s="523"/>
      <c r="AD160" s="224">
        <f t="shared" si="42"/>
        <v>129634.4</v>
      </c>
      <c r="AE160" s="511">
        <v>1</v>
      </c>
      <c r="AF160" s="501"/>
      <c r="AG160" s="506">
        <v>1.96</v>
      </c>
      <c r="AH160" s="500">
        <f t="shared" si="53"/>
        <v>129634.4</v>
      </c>
      <c r="AI160" s="106"/>
      <c r="AJ160" s="523"/>
      <c r="AK160" s="224">
        <f t="shared" si="43"/>
        <v>129634.4</v>
      </c>
    </row>
    <row r="161" spans="1:37" ht="25.5" x14ac:dyDescent="0.25">
      <c r="A161" s="494">
        <v>99</v>
      </c>
      <c r="B161" s="498" t="s">
        <v>966</v>
      </c>
      <c r="C161" s="498" t="s">
        <v>491</v>
      </c>
      <c r="D161" s="501" t="s">
        <v>837</v>
      </c>
      <c r="E161" s="511">
        <v>1</v>
      </c>
      <c r="F161" s="501" t="s">
        <v>967</v>
      </c>
      <c r="G161" s="506">
        <v>1.73</v>
      </c>
      <c r="H161" s="500">
        <f t="shared" si="51"/>
        <v>114422.2</v>
      </c>
      <c r="I161" s="106"/>
      <c r="J161" s="523"/>
      <c r="K161" s="224">
        <f t="shared" si="54"/>
        <v>114422.2</v>
      </c>
      <c r="L161" s="511">
        <v>1</v>
      </c>
      <c r="M161" s="501" t="s">
        <v>1076</v>
      </c>
      <c r="N161" s="506">
        <v>1.68</v>
      </c>
      <c r="O161" s="512">
        <f t="shared" si="55"/>
        <v>111115.2</v>
      </c>
      <c r="P161" s="512"/>
      <c r="Q161" s="523"/>
      <c r="R161" s="512">
        <f t="shared" si="56"/>
        <v>111115.2</v>
      </c>
      <c r="S161" s="224">
        <f t="shared" si="41"/>
        <v>0</v>
      </c>
      <c r="T161" s="224">
        <f t="shared" si="50"/>
        <v>3307</v>
      </c>
      <c r="U161" s="224">
        <f t="shared" si="50"/>
        <v>0</v>
      </c>
      <c r="V161" s="224">
        <f t="shared" si="50"/>
        <v>0</v>
      </c>
      <c r="W161" s="224">
        <f t="shared" si="44"/>
        <v>3307</v>
      </c>
      <c r="X161" s="511">
        <v>1</v>
      </c>
      <c r="Y161" s="501" t="s">
        <v>838</v>
      </c>
      <c r="Z161" s="506">
        <v>2.2799999999999998</v>
      </c>
      <c r="AA161" s="500">
        <f t="shared" si="52"/>
        <v>150799.19999999998</v>
      </c>
      <c r="AB161" s="106"/>
      <c r="AC161" s="523">
        <f>AA161*0.05</f>
        <v>7539.9599999999991</v>
      </c>
      <c r="AD161" s="224">
        <f t="shared" si="42"/>
        <v>158339.15999999997</v>
      </c>
      <c r="AE161" s="511">
        <v>1</v>
      </c>
      <c r="AF161" s="501" t="s">
        <v>1059</v>
      </c>
      <c r="AG161" s="506">
        <v>2.2799999999999998</v>
      </c>
      <c r="AH161" s="500">
        <f t="shared" si="53"/>
        <v>150799.19999999998</v>
      </c>
      <c r="AI161" s="106"/>
      <c r="AJ161" s="523">
        <f t="shared" si="57"/>
        <v>7539.9599999999991</v>
      </c>
      <c r="AK161" s="224">
        <f t="shared" si="43"/>
        <v>158339.15999999997</v>
      </c>
    </row>
    <row r="162" spans="1:37" ht="25.5" x14ac:dyDescent="0.25">
      <c r="A162" s="494">
        <v>100</v>
      </c>
      <c r="B162" s="510" t="s">
        <v>968</v>
      </c>
      <c r="C162" s="498" t="s">
        <v>491</v>
      </c>
      <c r="D162" s="501" t="s">
        <v>839</v>
      </c>
      <c r="E162" s="511">
        <v>1</v>
      </c>
      <c r="F162" s="501" t="s">
        <v>969</v>
      </c>
      <c r="G162" s="506">
        <v>1.73</v>
      </c>
      <c r="H162" s="500">
        <f t="shared" si="51"/>
        <v>114422.2</v>
      </c>
      <c r="I162" s="106"/>
      <c r="J162" s="523"/>
      <c r="K162" s="224">
        <f t="shared" si="54"/>
        <v>114422.2</v>
      </c>
      <c r="L162" s="511">
        <v>1</v>
      </c>
      <c r="M162" s="501"/>
      <c r="N162" s="506">
        <v>1.68</v>
      </c>
      <c r="O162" s="512">
        <f t="shared" si="55"/>
        <v>111115.2</v>
      </c>
      <c r="P162" s="512"/>
      <c r="Q162" s="523"/>
      <c r="R162" s="512">
        <f t="shared" si="56"/>
        <v>111115.2</v>
      </c>
      <c r="S162" s="224">
        <f t="shared" si="41"/>
        <v>0</v>
      </c>
      <c r="T162" s="224">
        <f t="shared" si="50"/>
        <v>3307</v>
      </c>
      <c r="U162" s="224">
        <f t="shared" si="50"/>
        <v>0</v>
      </c>
      <c r="V162" s="224">
        <f t="shared" si="50"/>
        <v>0</v>
      </c>
      <c r="W162" s="224">
        <f t="shared" si="44"/>
        <v>3307</v>
      </c>
      <c r="X162" s="511">
        <v>1</v>
      </c>
      <c r="Y162" s="501"/>
      <c r="Z162" s="506">
        <v>1.68</v>
      </c>
      <c r="AA162" s="500">
        <f t="shared" si="52"/>
        <v>111115.2</v>
      </c>
      <c r="AB162" s="106"/>
      <c r="AC162" s="523"/>
      <c r="AD162" s="224">
        <f t="shared" si="42"/>
        <v>111115.2</v>
      </c>
      <c r="AE162" s="511">
        <v>1</v>
      </c>
      <c r="AF162" s="501"/>
      <c r="AG162" s="506">
        <v>1.68</v>
      </c>
      <c r="AH162" s="500">
        <f t="shared" si="53"/>
        <v>111115.2</v>
      </c>
      <c r="AI162" s="106"/>
      <c r="AJ162" s="523"/>
      <c r="AK162" s="224">
        <f t="shared" si="43"/>
        <v>111115.2</v>
      </c>
    </row>
    <row r="163" spans="1:37" ht="25.5" x14ac:dyDescent="0.25">
      <c r="A163" s="494">
        <v>101</v>
      </c>
      <c r="B163" s="517" t="s">
        <v>840</v>
      </c>
      <c r="C163" s="517" t="s">
        <v>491</v>
      </c>
      <c r="D163" s="515" t="s">
        <v>841</v>
      </c>
      <c r="E163" s="511">
        <v>1</v>
      </c>
      <c r="F163" s="501" t="s">
        <v>843</v>
      </c>
      <c r="G163" s="506">
        <v>2.2799999999999998</v>
      </c>
      <c r="H163" s="500">
        <f t="shared" si="51"/>
        <v>150799.19999999998</v>
      </c>
      <c r="I163" s="106"/>
      <c r="J163" s="523">
        <f>H163*0.05</f>
        <v>7539.9599999999991</v>
      </c>
      <c r="K163" s="224">
        <f t="shared" si="54"/>
        <v>158339.15999999997</v>
      </c>
      <c r="L163" s="511">
        <v>1</v>
      </c>
      <c r="M163" s="515" t="s">
        <v>842</v>
      </c>
      <c r="N163" s="516">
        <v>2.2799999999999998</v>
      </c>
      <c r="O163" s="512">
        <f t="shared" si="55"/>
        <v>150799.19999999998</v>
      </c>
      <c r="P163" s="512"/>
      <c r="Q163" s="522">
        <f>O163*0.05</f>
        <v>7539.9599999999991</v>
      </c>
      <c r="R163" s="512">
        <f t="shared" si="56"/>
        <v>158339.15999999997</v>
      </c>
      <c r="S163" s="224">
        <f t="shared" si="41"/>
        <v>0</v>
      </c>
      <c r="T163" s="224">
        <f t="shared" si="50"/>
        <v>0</v>
      </c>
      <c r="U163" s="224">
        <f t="shared" si="50"/>
        <v>0</v>
      </c>
      <c r="V163" s="224">
        <f t="shared" si="50"/>
        <v>0</v>
      </c>
      <c r="W163" s="224">
        <f t="shared" si="44"/>
        <v>0</v>
      </c>
      <c r="X163" s="511">
        <v>1</v>
      </c>
      <c r="Y163" s="501" t="s">
        <v>844</v>
      </c>
      <c r="Z163" s="506">
        <v>2.2799999999999998</v>
      </c>
      <c r="AA163" s="500">
        <f t="shared" si="52"/>
        <v>150799.19999999998</v>
      </c>
      <c r="AB163" s="106"/>
      <c r="AC163" s="523">
        <f>AA163*0.05</f>
        <v>7539.9599999999991</v>
      </c>
      <c r="AD163" s="224">
        <f t="shared" si="42"/>
        <v>158339.15999999997</v>
      </c>
      <c r="AE163" s="511">
        <v>1</v>
      </c>
      <c r="AF163" s="501" t="s">
        <v>1060</v>
      </c>
      <c r="AG163" s="506">
        <v>2.2799999999999998</v>
      </c>
      <c r="AH163" s="500">
        <f t="shared" si="53"/>
        <v>150799.19999999998</v>
      </c>
      <c r="AI163" s="106"/>
      <c r="AJ163" s="523">
        <f t="shared" si="57"/>
        <v>7539.9599999999991</v>
      </c>
      <c r="AK163" s="224">
        <f t="shared" si="43"/>
        <v>158339.15999999997</v>
      </c>
    </row>
    <row r="164" spans="1:37" ht="25.5" x14ac:dyDescent="0.25">
      <c r="A164" s="494">
        <v>102</v>
      </c>
      <c r="B164" s="498" t="s">
        <v>970</v>
      </c>
      <c r="C164" s="498" t="s">
        <v>491</v>
      </c>
      <c r="D164" s="501" t="s">
        <v>845</v>
      </c>
      <c r="E164" s="511">
        <v>1</v>
      </c>
      <c r="F164" s="501" t="s">
        <v>971</v>
      </c>
      <c r="G164" s="506">
        <v>1.73</v>
      </c>
      <c r="H164" s="500">
        <f t="shared" si="51"/>
        <v>114422.2</v>
      </c>
      <c r="I164" s="106"/>
      <c r="J164" s="523"/>
      <c r="K164" s="224">
        <f t="shared" si="54"/>
        <v>114422.2</v>
      </c>
      <c r="L164" s="511">
        <v>1</v>
      </c>
      <c r="M164" s="501" t="s">
        <v>980</v>
      </c>
      <c r="N164" s="506">
        <v>1.68</v>
      </c>
      <c r="O164" s="512">
        <f t="shared" si="55"/>
        <v>111115.2</v>
      </c>
      <c r="P164" s="512"/>
      <c r="Q164" s="523"/>
      <c r="R164" s="512">
        <f t="shared" si="56"/>
        <v>111115.2</v>
      </c>
      <c r="S164" s="224">
        <f t="shared" si="41"/>
        <v>0</v>
      </c>
      <c r="T164" s="224">
        <f t="shared" si="50"/>
        <v>3307</v>
      </c>
      <c r="U164" s="224">
        <f t="shared" si="50"/>
        <v>0</v>
      </c>
      <c r="V164" s="224">
        <f t="shared" si="50"/>
        <v>0</v>
      </c>
      <c r="W164" s="224">
        <f t="shared" si="44"/>
        <v>3307</v>
      </c>
      <c r="X164" s="511">
        <v>1</v>
      </c>
      <c r="Y164" s="501" t="s">
        <v>993</v>
      </c>
      <c r="Z164" s="506">
        <v>1.79</v>
      </c>
      <c r="AA164" s="500">
        <f t="shared" si="52"/>
        <v>118390.6</v>
      </c>
      <c r="AB164" s="106"/>
      <c r="AC164" s="523"/>
      <c r="AD164" s="224">
        <f t="shared" si="42"/>
        <v>118390.6</v>
      </c>
      <c r="AE164" s="511">
        <v>1</v>
      </c>
      <c r="AF164" s="501" t="s">
        <v>993</v>
      </c>
      <c r="AG164" s="506">
        <v>1.84</v>
      </c>
      <c r="AH164" s="500">
        <f t="shared" si="53"/>
        <v>121697.60000000001</v>
      </c>
      <c r="AI164" s="106"/>
      <c r="AJ164" s="523"/>
      <c r="AK164" s="224">
        <f t="shared" si="43"/>
        <v>121697.60000000001</v>
      </c>
    </row>
    <row r="165" spans="1:37" ht="25.5" x14ac:dyDescent="0.25">
      <c r="A165" s="494">
        <v>103</v>
      </c>
      <c r="B165" s="517" t="s">
        <v>972</v>
      </c>
      <c r="C165" s="517" t="s">
        <v>491</v>
      </c>
      <c r="D165" s="515" t="s">
        <v>846</v>
      </c>
      <c r="E165" s="511">
        <v>1</v>
      </c>
      <c r="F165" s="501" t="s">
        <v>1074</v>
      </c>
      <c r="G165" s="506">
        <v>1.73</v>
      </c>
      <c r="H165" s="500">
        <f t="shared" si="51"/>
        <v>114422.2</v>
      </c>
      <c r="I165" s="106"/>
      <c r="J165" s="523"/>
      <c r="K165" s="224">
        <f t="shared" si="54"/>
        <v>114422.2</v>
      </c>
      <c r="L165" s="511">
        <v>1</v>
      </c>
      <c r="M165" s="501" t="s">
        <v>1075</v>
      </c>
      <c r="N165" s="516">
        <v>1.68</v>
      </c>
      <c r="O165" s="512">
        <f t="shared" si="55"/>
        <v>111115.2</v>
      </c>
      <c r="P165" s="512"/>
      <c r="Q165" s="522"/>
      <c r="R165" s="512">
        <f t="shared" si="56"/>
        <v>111115.2</v>
      </c>
      <c r="S165" s="224">
        <f t="shared" si="41"/>
        <v>0</v>
      </c>
      <c r="T165" s="224">
        <f t="shared" si="50"/>
        <v>3307</v>
      </c>
      <c r="U165" s="224">
        <f t="shared" si="50"/>
        <v>0</v>
      </c>
      <c r="V165" s="224">
        <f t="shared" si="50"/>
        <v>0</v>
      </c>
      <c r="W165" s="224">
        <f t="shared" si="44"/>
        <v>3307</v>
      </c>
      <c r="X165" s="511">
        <v>1</v>
      </c>
      <c r="Y165" s="501" t="s">
        <v>847</v>
      </c>
      <c r="Z165" s="506">
        <v>2.2799999999999998</v>
      </c>
      <c r="AA165" s="500">
        <f t="shared" si="52"/>
        <v>150799.19999999998</v>
      </c>
      <c r="AB165" s="106"/>
      <c r="AC165" s="523">
        <f>AA165*0.05</f>
        <v>7539.9599999999991</v>
      </c>
      <c r="AD165" s="224">
        <f t="shared" si="42"/>
        <v>158339.15999999997</v>
      </c>
      <c r="AE165" s="511">
        <v>1</v>
      </c>
      <c r="AF165" s="501" t="s">
        <v>1061</v>
      </c>
      <c r="AG165" s="506">
        <v>2.2799999999999998</v>
      </c>
      <c r="AH165" s="500">
        <f t="shared" si="53"/>
        <v>150799.19999999998</v>
      </c>
      <c r="AI165" s="106"/>
      <c r="AJ165" s="523">
        <f>AH165*0.05</f>
        <v>7539.9599999999991</v>
      </c>
      <c r="AK165" s="224">
        <f t="shared" si="43"/>
        <v>158339.15999999997</v>
      </c>
    </row>
    <row r="166" spans="1:37" x14ac:dyDescent="0.25">
      <c r="A166" s="494">
        <v>104</v>
      </c>
      <c r="B166" s="498" t="s">
        <v>556</v>
      </c>
      <c r="C166" s="498" t="s">
        <v>491</v>
      </c>
      <c r="D166" s="501" t="s">
        <v>848</v>
      </c>
      <c r="E166" s="511">
        <v>1</v>
      </c>
      <c r="F166" s="501"/>
      <c r="G166" s="506">
        <v>1.96</v>
      </c>
      <c r="H166" s="500">
        <f t="shared" si="51"/>
        <v>129634.4</v>
      </c>
      <c r="I166" s="106"/>
      <c r="J166" s="523"/>
      <c r="K166" s="224">
        <f t="shared" si="54"/>
        <v>129634.4</v>
      </c>
      <c r="L166" s="511">
        <v>1</v>
      </c>
      <c r="M166" s="501"/>
      <c r="N166" s="506">
        <v>1.96</v>
      </c>
      <c r="O166" s="512">
        <f t="shared" si="55"/>
        <v>129634.4</v>
      </c>
      <c r="P166" s="512"/>
      <c r="Q166" s="523"/>
      <c r="R166" s="512">
        <f t="shared" si="56"/>
        <v>129634.4</v>
      </c>
      <c r="S166" s="224">
        <f t="shared" si="41"/>
        <v>0</v>
      </c>
      <c r="T166" s="224">
        <f t="shared" si="50"/>
        <v>0</v>
      </c>
      <c r="U166" s="224">
        <f t="shared" si="50"/>
        <v>0</v>
      </c>
      <c r="V166" s="224">
        <f t="shared" si="50"/>
        <v>0</v>
      </c>
      <c r="W166" s="224">
        <f t="shared" si="44"/>
        <v>0</v>
      </c>
      <c r="X166" s="511">
        <v>1</v>
      </c>
      <c r="Y166" s="501"/>
      <c r="Z166" s="506">
        <v>1.96</v>
      </c>
      <c r="AA166" s="500">
        <f t="shared" si="52"/>
        <v>129634.4</v>
      </c>
      <c r="AB166" s="106"/>
      <c r="AC166" s="523">
        <f>AA166*0.05</f>
        <v>6481.72</v>
      </c>
      <c r="AD166" s="224">
        <f t="shared" si="42"/>
        <v>136116.12</v>
      </c>
      <c r="AE166" s="511">
        <v>1</v>
      </c>
      <c r="AF166" s="501"/>
      <c r="AG166" s="506">
        <v>1.96</v>
      </c>
      <c r="AH166" s="500">
        <f t="shared" si="53"/>
        <v>129634.4</v>
      </c>
      <c r="AI166" s="106"/>
      <c r="AJ166" s="523"/>
      <c r="AK166" s="224">
        <f t="shared" si="43"/>
        <v>129634.4</v>
      </c>
    </row>
    <row r="167" spans="1:37" ht="25.5" x14ac:dyDescent="0.25">
      <c r="A167" s="494">
        <v>105</v>
      </c>
      <c r="B167" s="498" t="s">
        <v>849</v>
      </c>
      <c r="C167" s="498" t="s">
        <v>491</v>
      </c>
      <c r="D167" s="501" t="s">
        <v>850</v>
      </c>
      <c r="E167" s="511">
        <v>1</v>
      </c>
      <c r="F167" s="501" t="s">
        <v>852</v>
      </c>
      <c r="G167" s="506">
        <v>1.9</v>
      </c>
      <c r="H167" s="500">
        <f t="shared" si="51"/>
        <v>125666</v>
      </c>
      <c r="I167" s="106"/>
      <c r="J167" s="523"/>
      <c r="K167" s="224">
        <f t="shared" si="54"/>
        <v>125666</v>
      </c>
      <c r="L167" s="511">
        <v>1</v>
      </c>
      <c r="M167" s="501" t="s">
        <v>851</v>
      </c>
      <c r="N167" s="506">
        <v>1.84</v>
      </c>
      <c r="O167" s="512">
        <f t="shared" si="55"/>
        <v>121697.60000000001</v>
      </c>
      <c r="P167" s="512"/>
      <c r="Q167" s="523"/>
      <c r="R167" s="512">
        <f t="shared" si="56"/>
        <v>121697.60000000001</v>
      </c>
      <c r="S167" s="224">
        <f t="shared" si="41"/>
        <v>0</v>
      </c>
      <c r="T167" s="224">
        <f t="shared" si="50"/>
        <v>3968.3999999999942</v>
      </c>
      <c r="U167" s="224">
        <f t="shared" si="50"/>
        <v>0</v>
      </c>
      <c r="V167" s="224">
        <f t="shared" si="50"/>
        <v>0</v>
      </c>
      <c r="W167" s="224">
        <f t="shared" si="44"/>
        <v>3968.3999999999942</v>
      </c>
      <c r="X167" s="511">
        <v>1</v>
      </c>
      <c r="Y167" s="501" t="s">
        <v>853</v>
      </c>
      <c r="Z167" s="506">
        <v>1.9</v>
      </c>
      <c r="AA167" s="500">
        <f t="shared" si="52"/>
        <v>125666</v>
      </c>
      <c r="AB167" s="106"/>
      <c r="AC167" s="523"/>
      <c r="AD167" s="224">
        <f t="shared" si="42"/>
        <v>125666</v>
      </c>
      <c r="AE167" s="511">
        <v>1</v>
      </c>
      <c r="AF167" s="501" t="s">
        <v>1062</v>
      </c>
      <c r="AG167" s="506">
        <v>1.96</v>
      </c>
      <c r="AH167" s="500">
        <f t="shared" si="53"/>
        <v>129634.4</v>
      </c>
      <c r="AI167" s="106"/>
      <c r="AJ167" s="523"/>
      <c r="AK167" s="224">
        <f t="shared" si="43"/>
        <v>129634.4</v>
      </c>
    </row>
    <row r="168" spans="1:37" x14ac:dyDescent="0.25">
      <c r="A168" s="494"/>
      <c r="B168" s="518" t="s">
        <v>169</v>
      </c>
      <c r="C168" s="519" t="s">
        <v>1</v>
      </c>
      <c r="D168" s="519" t="s">
        <v>1</v>
      </c>
      <c r="E168" s="520">
        <f>SUM(E155:E167)</f>
        <v>13</v>
      </c>
      <c r="F168" s="519" t="s">
        <v>1</v>
      </c>
      <c r="G168" s="519" t="s">
        <v>1</v>
      </c>
      <c r="H168" s="520">
        <f>H155+H156+H157+H158+H159+H160+H161+H162+H163+H164+H165+H166+H167</f>
        <v>1844644.5999999999</v>
      </c>
      <c r="I168" s="520">
        <f>I155+I156+I157+I158+I159+I160+I161+I162+I163+I164+I165+I166+I167</f>
        <v>0</v>
      </c>
      <c r="J168" s="520">
        <f>J155+J156+J157+J158+J159+J160+J161+J162+J163+J164+J165+J166+J167</f>
        <v>22388.39</v>
      </c>
      <c r="K168" s="520">
        <f>K155+K156+K157+K158+K159+K160+K161+K162+K163+K164+K165+K166+K167</f>
        <v>1867032.9899999998</v>
      </c>
      <c r="L168" s="520">
        <f>SUM(L155:L167)</f>
        <v>13</v>
      </c>
      <c r="M168" s="519" t="s">
        <v>1</v>
      </c>
      <c r="N168" s="519" t="s">
        <v>1</v>
      </c>
      <c r="O168" s="520">
        <f>SUM(O155:O167)</f>
        <v>1818188.5999999999</v>
      </c>
      <c r="P168" s="520">
        <f>SUM(P155:P167)</f>
        <v>0</v>
      </c>
      <c r="Q168" s="520">
        <f>SUM(Q155:Q167)</f>
        <v>21925.41</v>
      </c>
      <c r="R168" s="520">
        <f>R155+R156+R157+R158+R159+R160+R161+R162+R163+R164+R165+R166+R167</f>
        <v>1840114.0099999998</v>
      </c>
      <c r="S168" s="224">
        <f t="shared" si="41"/>
        <v>0</v>
      </c>
      <c r="T168" s="224">
        <f t="shared" si="50"/>
        <v>26456</v>
      </c>
      <c r="U168" s="224">
        <f t="shared" si="50"/>
        <v>0</v>
      </c>
      <c r="V168" s="224">
        <f t="shared" si="50"/>
        <v>462.97999999999956</v>
      </c>
      <c r="W168" s="224">
        <f t="shared" si="44"/>
        <v>26918.98</v>
      </c>
      <c r="X168" s="520">
        <f>SUM(X155:X167)</f>
        <v>13</v>
      </c>
      <c r="Y168" s="519" t="s">
        <v>1</v>
      </c>
      <c r="Z168" s="519" t="s">
        <v>1</v>
      </c>
      <c r="AA168" s="520">
        <f>SUM(AA155:AA167)</f>
        <v>1918060</v>
      </c>
      <c r="AB168" s="520">
        <f>SUM(AB155:AB167)</f>
        <v>0</v>
      </c>
      <c r="AC168" s="520">
        <f>SUM(AC155:AC167)</f>
        <v>43950.03</v>
      </c>
      <c r="AD168" s="520">
        <f>SUM(AD155:AD167)</f>
        <v>1962010.0299999998</v>
      </c>
      <c r="AE168" s="520">
        <f>SUM(AE155:AE167)</f>
        <v>13</v>
      </c>
      <c r="AF168" s="519" t="s">
        <v>1</v>
      </c>
      <c r="AG168" s="519" t="s">
        <v>1</v>
      </c>
      <c r="AH168" s="520">
        <f>SUM(AH155:AH167)</f>
        <v>1925335.4</v>
      </c>
      <c r="AI168" s="520">
        <f>SUM(AI155:AI167)</f>
        <v>0</v>
      </c>
      <c r="AJ168" s="520">
        <f>SUM(AJ155:AJ167)</f>
        <v>37468.31</v>
      </c>
      <c r="AK168" s="520">
        <f>SUM(AK155:AK167)</f>
        <v>1962803.7099999997</v>
      </c>
    </row>
    <row r="169" spans="1:37" ht="13.5" customHeight="1" x14ac:dyDescent="0.25">
      <c r="A169" s="494"/>
      <c r="B169" s="601" t="s">
        <v>854</v>
      </c>
      <c r="C169" s="601"/>
      <c r="D169" s="601"/>
      <c r="E169" s="511"/>
      <c r="F169" s="498"/>
      <c r="G169" s="506"/>
      <c r="H169" s="500">
        <f t="shared" si="51"/>
        <v>0</v>
      </c>
      <c r="I169" s="106"/>
      <c r="J169" s="523"/>
      <c r="K169" s="224">
        <f t="shared" si="54"/>
        <v>0</v>
      </c>
      <c r="L169" s="511"/>
      <c r="M169" s="498"/>
      <c r="N169" s="506"/>
      <c r="O169" s="512"/>
      <c r="P169" s="512"/>
      <c r="Q169" s="523"/>
      <c r="R169" s="512"/>
      <c r="S169" s="224">
        <f t="shared" ref="S169:S218" si="58">+E169-L169</f>
        <v>0</v>
      </c>
      <c r="T169" s="224">
        <f t="shared" si="50"/>
        <v>0</v>
      </c>
      <c r="U169" s="224">
        <f t="shared" si="50"/>
        <v>0</v>
      </c>
      <c r="V169" s="224">
        <f t="shared" si="50"/>
        <v>0</v>
      </c>
      <c r="W169" s="224">
        <f t="shared" si="44"/>
        <v>0</v>
      </c>
      <c r="X169" s="511"/>
      <c r="Y169" s="498"/>
      <c r="Z169" s="506"/>
      <c r="AA169" s="500">
        <f t="shared" si="52"/>
        <v>0</v>
      </c>
      <c r="AB169" s="106"/>
      <c r="AC169" s="523"/>
      <c r="AD169" s="224">
        <f t="shared" ref="AD169:AD208" si="59">AA169+AB169+AC169</f>
        <v>0</v>
      </c>
      <c r="AE169" s="511"/>
      <c r="AF169" s="498"/>
      <c r="AG169" s="506"/>
      <c r="AH169" s="500">
        <f t="shared" si="53"/>
        <v>0</v>
      </c>
      <c r="AI169" s="106"/>
      <c r="AJ169" s="523"/>
      <c r="AK169" s="224">
        <f t="shared" ref="AK169:AK208" si="60">AH169+AI169+AJ169</f>
        <v>0</v>
      </c>
    </row>
    <row r="170" spans="1:37" x14ac:dyDescent="0.25">
      <c r="A170" s="494">
        <v>106</v>
      </c>
      <c r="B170" s="498" t="s">
        <v>556</v>
      </c>
      <c r="C170" s="498" t="s">
        <v>677</v>
      </c>
      <c r="D170" s="501" t="s">
        <v>855</v>
      </c>
      <c r="E170" s="511">
        <v>1</v>
      </c>
      <c r="F170" s="501"/>
      <c r="G170" s="506">
        <v>3.76</v>
      </c>
      <c r="H170" s="500">
        <f t="shared" si="51"/>
        <v>248686.4</v>
      </c>
      <c r="I170" s="106"/>
      <c r="J170" s="523"/>
      <c r="K170" s="224">
        <f t="shared" si="54"/>
        <v>248686.4</v>
      </c>
      <c r="L170" s="511">
        <v>1</v>
      </c>
      <c r="M170" s="501"/>
      <c r="N170" s="506">
        <v>3.76</v>
      </c>
      <c r="O170" s="512">
        <f t="shared" ref="O170:O179" si="61">N170*66140</f>
        <v>248686.4</v>
      </c>
      <c r="P170" s="512"/>
      <c r="Q170" s="523"/>
      <c r="R170" s="512">
        <f t="shared" ref="R170:R176" si="62">O170+P170+Q170</f>
        <v>248686.4</v>
      </c>
      <c r="S170" s="224">
        <f t="shared" si="58"/>
        <v>0</v>
      </c>
      <c r="T170" s="224">
        <f t="shared" si="50"/>
        <v>0</v>
      </c>
      <c r="U170" s="224">
        <f t="shared" si="50"/>
        <v>0</v>
      </c>
      <c r="V170" s="224">
        <f t="shared" si="50"/>
        <v>0</v>
      </c>
      <c r="W170" s="224">
        <f t="shared" ref="W170:W218" si="63">T170+U170+V170</f>
        <v>0</v>
      </c>
      <c r="X170" s="511">
        <v>1</v>
      </c>
      <c r="Y170" s="501"/>
      <c r="Z170" s="506">
        <v>3.76</v>
      </c>
      <c r="AA170" s="500">
        <f t="shared" si="52"/>
        <v>248686.4</v>
      </c>
      <c r="AB170" s="106"/>
      <c r="AC170" s="523"/>
      <c r="AD170" s="224">
        <f t="shared" si="59"/>
        <v>248686.4</v>
      </c>
      <c r="AE170" s="511">
        <v>1</v>
      </c>
      <c r="AF170" s="501"/>
      <c r="AG170" s="506">
        <v>3.76</v>
      </c>
      <c r="AH170" s="500">
        <f t="shared" si="53"/>
        <v>248686.4</v>
      </c>
      <c r="AI170" s="106"/>
      <c r="AJ170" s="523"/>
      <c r="AK170" s="224">
        <f t="shared" si="60"/>
        <v>248686.4</v>
      </c>
    </row>
    <row r="171" spans="1:37" x14ac:dyDescent="0.25">
      <c r="A171" s="494">
        <v>107</v>
      </c>
      <c r="B171" s="498" t="s">
        <v>556</v>
      </c>
      <c r="C171" s="517" t="s">
        <v>536</v>
      </c>
      <c r="D171" s="515" t="s">
        <v>856</v>
      </c>
      <c r="E171" s="513">
        <v>1</v>
      </c>
      <c r="F171" s="515"/>
      <c r="G171" s="516">
        <v>2.66</v>
      </c>
      <c r="H171" s="500">
        <f t="shared" si="51"/>
        <v>175932.40000000002</v>
      </c>
      <c r="I171" s="106"/>
      <c r="J171" s="522"/>
      <c r="K171" s="224">
        <f t="shared" si="54"/>
        <v>175932.40000000002</v>
      </c>
      <c r="L171" s="513">
        <v>1</v>
      </c>
      <c r="M171" s="515"/>
      <c r="N171" s="516">
        <v>2.66</v>
      </c>
      <c r="O171" s="514">
        <f t="shared" si="61"/>
        <v>175932.40000000002</v>
      </c>
      <c r="P171" s="514"/>
      <c r="Q171" s="522"/>
      <c r="R171" s="514">
        <f t="shared" si="62"/>
        <v>175932.40000000002</v>
      </c>
      <c r="S171" s="224">
        <f t="shared" si="58"/>
        <v>0</v>
      </c>
      <c r="T171" s="224">
        <f t="shared" si="50"/>
        <v>0</v>
      </c>
      <c r="U171" s="224">
        <f t="shared" si="50"/>
        <v>0</v>
      </c>
      <c r="V171" s="224">
        <f t="shared" si="50"/>
        <v>0</v>
      </c>
      <c r="W171" s="224">
        <f t="shared" si="63"/>
        <v>0</v>
      </c>
      <c r="X171" s="513">
        <v>1</v>
      </c>
      <c r="Y171" s="515"/>
      <c r="Z171" s="516">
        <v>2.66</v>
      </c>
      <c r="AA171" s="500">
        <f t="shared" si="52"/>
        <v>175932.40000000002</v>
      </c>
      <c r="AB171" s="106"/>
      <c r="AC171" s="522"/>
      <c r="AD171" s="224">
        <f t="shared" si="59"/>
        <v>175932.40000000002</v>
      </c>
      <c r="AE171" s="513">
        <v>1</v>
      </c>
      <c r="AF171" s="515"/>
      <c r="AG171" s="516">
        <v>2.66</v>
      </c>
      <c r="AH171" s="500">
        <f t="shared" si="53"/>
        <v>175932.40000000002</v>
      </c>
      <c r="AI171" s="106"/>
      <c r="AJ171" s="522"/>
      <c r="AK171" s="224">
        <f t="shared" si="60"/>
        <v>175932.40000000002</v>
      </c>
    </row>
    <row r="172" spans="1:37" ht="25.5" x14ac:dyDescent="0.25">
      <c r="A172" s="494">
        <v>108</v>
      </c>
      <c r="B172" s="498" t="s">
        <v>860</v>
      </c>
      <c r="C172" s="498" t="s">
        <v>491</v>
      </c>
      <c r="D172" s="501" t="s">
        <v>861</v>
      </c>
      <c r="E172" s="511">
        <v>1</v>
      </c>
      <c r="F172" s="501" t="s">
        <v>863</v>
      </c>
      <c r="G172" s="506">
        <v>2.02</v>
      </c>
      <c r="H172" s="500">
        <f t="shared" si="51"/>
        <v>133602.79999999999</v>
      </c>
      <c r="I172" s="106"/>
      <c r="J172" s="523">
        <f>H172*0.05</f>
        <v>6680.1399999999994</v>
      </c>
      <c r="K172" s="224">
        <f t="shared" si="54"/>
        <v>140282.94</v>
      </c>
      <c r="L172" s="511">
        <v>1</v>
      </c>
      <c r="M172" s="501" t="s">
        <v>862</v>
      </c>
      <c r="N172" s="506">
        <v>2.02</v>
      </c>
      <c r="O172" s="512">
        <f t="shared" si="61"/>
        <v>133602.79999999999</v>
      </c>
      <c r="P172" s="512"/>
      <c r="Q172" s="523">
        <f>O172*0.05</f>
        <v>6680.1399999999994</v>
      </c>
      <c r="R172" s="512">
        <f t="shared" si="62"/>
        <v>140282.94</v>
      </c>
      <c r="S172" s="224">
        <f t="shared" si="58"/>
        <v>0</v>
      </c>
      <c r="T172" s="224">
        <f t="shared" si="50"/>
        <v>0</v>
      </c>
      <c r="U172" s="224">
        <f t="shared" si="50"/>
        <v>0</v>
      </c>
      <c r="V172" s="224">
        <f t="shared" si="50"/>
        <v>0</v>
      </c>
      <c r="W172" s="224">
        <f t="shared" si="63"/>
        <v>0</v>
      </c>
      <c r="X172" s="511">
        <v>1</v>
      </c>
      <c r="Y172" s="501" t="s">
        <v>864</v>
      </c>
      <c r="Z172" s="506">
        <v>2.08</v>
      </c>
      <c r="AA172" s="500">
        <f t="shared" si="52"/>
        <v>137571.20000000001</v>
      </c>
      <c r="AB172" s="106"/>
      <c r="AC172" s="523">
        <f>AA172*0.05</f>
        <v>6878.5600000000013</v>
      </c>
      <c r="AD172" s="224">
        <f t="shared" si="59"/>
        <v>144449.76</v>
      </c>
      <c r="AE172" s="511">
        <v>1</v>
      </c>
      <c r="AF172" s="501" t="s">
        <v>1063</v>
      </c>
      <c r="AG172" s="506">
        <v>2.08</v>
      </c>
      <c r="AH172" s="500">
        <f t="shared" si="53"/>
        <v>137571.20000000001</v>
      </c>
      <c r="AI172" s="106"/>
      <c r="AJ172" s="523">
        <f>AH172*0.05</f>
        <v>6878.5600000000013</v>
      </c>
      <c r="AK172" s="224">
        <f t="shared" si="60"/>
        <v>144449.76</v>
      </c>
    </row>
    <row r="173" spans="1:37" x14ac:dyDescent="0.25">
      <c r="A173" s="494">
        <v>109</v>
      </c>
      <c r="B173" s="498" t="s">
        <v>556</v>
      </c>
      <c r="C173" s="517" t="s">
        <v>491</v>
      </c>
      <c r="D173" s="515" t="s">
        <v>865</v>
      </c>
      <c r="E173" s="513">
        <v>1</v>
      </c>
      <c r="F173" s="515"/>
      <c r="G173" s="516">
        <v>1.96</v>
      </c>
      <c r="H173" s="500">
        <f t="shared" si="51"/>
        <v>129634.4</v>
      </c>
      <c r="I173" s="106"/>
      <c r="J173" s="522"/>
      <c r="K173" s="224">
        <f t="shared" si="54"/>
        <v>129634.4</v>
      </c>
      <c r="L173" s="513">
        <v>1</v>
      </c>
      <c r="M173" s="515"/>
      <c r="N173" s="516">
        <v>1.96</v>
      </c>
      <c r="O173" s="514">
        <f t="shared" si="61"/>
        <v>129634.4</v>
      </c>
      <c r="P173" s="514"/>
      <c r="Q173" s="522"/>
      <c r="R173" s="514">
        <f t="shared" si="62"/>
        <v>129634.4</v>
      </c>
      <c r="S173" s="224">
        <f t="shared" si="58"/>
        <v>0</v>
      </c>
      <c r="T173" s="224">
        <f t="shared" si="50"/>
        <v>0</v>
      </c>
      <c r="U173" s="224">
        <f t="shared" si="50"/>
        <v>0</v>
      </c>
      <c r="V173" s="224">
        <f t="shared" si="50"/>
        <v>0</v>
      </c>
      <c r="W173" s="224">
        <f t="shared" si="63"/>
        <v>0</v>
      </c>
      <c r="X173" s="513">
        <v>1</v>
      </c>
      <c r="Y173" s="515"/>
      <c r="Z173" s="516">
        <v>1.96</v>
      </c>
      <c r="AA173" s="500">
        <f t="shared" si="52"/>
        <v>129634.4</v>
      </c>
      <c r="AB173" s="106"/>
      <c r="AC173" s="522">
        <f>AA173*0.05</f>
        <v>6481.72</v>
      </c>
      <c r="AD173" s="224">
        <f t="shared" si="59"/>
        <v>136116.12</v>
      </c>
      <c r="AE173" s="513">
        <v>1</v>
      </c>
      <c r="AF173" s="515"/>
      <c r="AG173" s="516">
        <v>1.96</v>
      </c>
      <c r="AH173" s="500">
        <f t="shared" si="53"/>
        <v>129634.4</v>
      </c>
      <c r="AI173" s="106"/>
      <c r="AJ173" s="522"/>
      <c r="AK173" s="224">
        <f t="shared" si="60"/>
        <v>129634.4</v>
      </c>
    </row>
    <row r="174" spans="1:37" ht="25.5" x14ac:dyDescent="0.25">
      <c r="A174" s="494">
        <v>110</v>
      </c>
      <c r="B174" s="498" t="s">
        <v>866</v>
      </c>
      <c r="C174" s="498" t="s">
        <v>491</v>
      </c>
      <c r="D174" s="501" t="s">
        <v>867</v>
      </c>
      <c r="E174" s="511">
        <v>1</v>
      </c>
      <c r="F174" s="501" t="s">
        <v>869</v>
      </c>
      <c r="G174" s="506">
        <v>2.2799999999999998</v>
      </c>
      <c r="H174" s="500">
        <f t="shared" si="51"/>
        <v>150799.19999999998</v>
      </c>
      <c r="I174" s="106"/>
      <c r="J174" s="523">
        <f>H174*0.05</f>
        <v>7539.9599999999991</v>
      </c>
      <c r="K174" s="224">
        <f t="shared" si="54"/>
        <v>158339.15999999997</v>
      </c>
      <c r="L174" s="511">
        <v>1</v>
      </c>
      <c r="M174" s="501" t="s">
        <v>868</v>
      </c>
      <c r="N174" s="506">
        <v>2.2799999999999998</v>
      </c>
      <c r="O174" s="512">
        <f t="shared" si="61"/>
        <v>150799.19999999998</v>
      </c>
      <c r="P174" s="512"/>
      <c r="Q174" s="523">
        <f>O174*0.05</f>
        <v>7539.9599999999991</v>
      </c>
      <c r="R174" s="512">
        <f t="shared" si="62"/>
        <v>158339.15999999997</v>
      </c>
      <c r="S174" s="224">
        <f t="shared" si="58"/>
        <v>0</v>
      </c>
      <c r="T174" s="224">
        <f t="shared" si="50"/>
        <v>0</v>
      </c>
      <c r="U174" s="224">
        <f t="shared" si="50"/>
        <v>0</v>
      </c>
      <c r="V174" s="224">
        <f t="shared" si="50"/>
        <v>0</v>
      </c>
      <c r="W174" s="224">
        <f t="shared" si="63"/>
        <v>0</v>
      </c>
      <c r="X174" s="511">
        <v>1</v>
      </c>
      <c r="Y174" s="501" t="s">
        <v>870</v>
      </c>
      <c r="Z174" s="506">
        <v>2.2799999999999998</v>
      </c>
      <c r="AA174" s="500">
        <f t="shared" si="52"/>
        <v>150799.19999999998</v>
      </c>
      <c r="AB174" s="106"/>
      <c r="AC174" s="523">
        <f>AA174*0.05</f>
        <v>7539.9599999999991</v>
      </c>
      <c r="AD174" s="224">
        <f t="shared" si="59"/>
        <v>158339.15999999997</v>
      </c>
      <c r="AE174" s="511">
        <v>1</v>
      </c>
      <c r="AF174" s="501" t="s">
        <v>1064</v>
      </c>
      <c r="AG174" s="506">
        <v>2.2799999999999998</v>
      </c>
      <c r="AH174" s="500">
        <f t="shared" si="53"/>
        <v>150799.19999999998</v>
      </c>
      <c r="AI174" s="106"/>
      <c r="AJ174" s="523">
        <f>AH174*0.05</f>
        <v>7539.9599999999991</v>
      </c>
      <c r="AK174" s="224">
        <f t="shared" si="60"/>
        <v>158339.15999999997</v>
      </c>
    </row>
    <row r="175" spans="1:37" ht="25.5" x14ac:dyDescent="0.25">
      <c r="A175" s="494">
        <v>111</v>
      </c>
      <c r="B175" s="498" t="s">
        <v>871</v>
      </c>
      <c r="C175" s="498" t="s">
        <v>491</v>
      </c>
      <c r="D175" s="501" t="s">
        <v>872</v>
      </c>
      <c r="E175" s="511">
        <v>1</v>
      </c>
      <c r="F175" s="501" t="s">
        <v>874</v>
      </c>
      <c r="G175" s="506">
        <v>2.2799999999999998</v>
      </c>
      <c r="H175" s="500">
        <f t="shared" si="51"/>
        <v>150799.19999999998</v>
      </c>
      <c r="I175" s="106"/>
      <c r="J175" s="523">
        <f>H175*0.05</f>
        <v>7539.9599999999991</v>
      </c>
      <c r="K175" s="224">
        <f t="shared" si="54"/>
        <v>158339.15999999997</v>
      </c>
      <c r="L175" s="511">
        <v>1</v>
      </c>
      <c r="M175" s="501" t="s">
        <v>873</v>
      </c>
      <c r="N175" s="506">
        <v>2.2799999999999998</v>
      </c>
      <c r="O175" s="512">
        <f t="shared" si="61"/>
        <v>150799.19999999998</v>
      </c>
      <c r="P175" s="512"/>
      <c r="Q175" s="523">
        <f>O175*0.05</f>
        <v>7539.9599999999991</v>
      </c>
      <c r="R175" s="512">
        <f t="shared" si="62"/>
        <v>158339.15999999997</v>
      </c>
      <c r="S175" s="224">
        <f t="shared" si="58"/>
        <v>0</v>
      </c>
      <c r="T175" s="224">
        <f t="shared" si="50"/>
        <v>0</v>
      </c>
      <c r="U175" s="224">
        <f t="shared" si="50"/>
        <v>0</v>
      </c>
      <c r="V175" s="224">
        <f t="shared" si="50"/>
        <v>0</v>
      </c>
      <c r="W175" s="224">
        <f t="shared" si="63"/>
        <v>0</v>
      </c>
      <c r="X175" s="511">
        <v>1</v>
      </c>
      <c r="Y175" s="501" t="s">
        <v>875</v>
      </c>
      <c r="Z175" s="506">
        <v>2.2799999999999998</v>
      </c>
      <c r="AA175" s="500">
        <f t="shared" si="52"/>
        <v>150799.19999999998</v>
      </c>
      <c r="AB175" s="106"/>
      <c r="AC175" s="523">
        <f>AA175*0.05</f>
        <v>7539.9599999999991</v>
      </c>
      <c r="AD175" s="224">
        <f t="shared" si="59"/>
        <v>158339.15999999997</v>
      </c>
      <c r="AE175" s="511">
        <v>1</v>
      </c>
      <c r="AF175" s="501" t="s">
        <v>1065</v>
      </c>
      <c r="AG175" s="506">
        <v>2.2799999999999998</v>
      </c>
      <c r="AH175" s="500">
        <f t="shared" si="53"/>
        <v>150799.19999999998</v>
      </c>
      <c r="AI175" s="106"/>
      <c r="AJ175" s="523">
        <f>AH175*0.05</f>
        <v>7539.9599999999991</v>
      </c>
      <c r="AK175" s="224">
        <f t="shared" si="60"/>
        <v>158339.15999999997</v>
      </c>
    </row>
    <row r="176" spans="1:37" ht="25.5" x14ac:dyDescent="0.25">
      <c r="A176" s="494">
        <v>112</v>
      </c>
      <c r="B176" s="498" t="s">
        <v>876</v>
      </c>
      <c r="C176" s="498" t="s">
        <v>491</v>
      </c>
      <c r="D176" s="501" t="s">
        <v>877</v>
      </c>
      <c r="E176" s="511">
        <v>1</v>
      </c>
      <c r="F176" s="501" t="s">
        <v>852</v>
      </c>
      <c r="G176" s="506">
        <v>1.9</v>
      </c>
      <c r="H176" s="500">
        <f t="shared" si="51"/>
        <v>125666</v>
      </c>
      <c r="I176" s="106"/>
      <c r="J176" s="523"/>
      <c r="K176" s="224">
        <f t="shared" si="54"/>
        <v>125666</v>
      </c>
      <c r="L176" s="511">
        <v>1</v>
      </c>
      <c r="M176" s="501" t="s">
        <v>851</v>
      </c>
      <c r="N176" s="506">
        <v>1.84</v>
      </c>
      <c r="O176" s="512">
        <f t="shared" si="61"/>
        <v>121697.60000000001</v>
      </c>
      <c r="P176" s="512"/>
      <c r="Q176" s="523"/>
      <c r="R176" s="512">
        <f t="shared" si="62"/>
        <v>121697.60000000001</v>
      </c>
      <c r="S176" s="224">
        <f t="shared" si="58"/>
        <v>0</v>
      </c>
      <c r="T176" s="224">
        <f t="shared" si="50"/>
        <v>3968.3999999999942</v>
      </c>
      <c r="U176" s="224">
        <f t="shared" si="50"/>
        <v>0</v>
      </c>
      <c r="V176" s="224">
        <f t="shared" si="50"/>
        <v>0</v>
      </c>
      <c r="W176" s="224">
        <f t="shared" si="63"/>
        <v>3968.3999999999942</v>
      </c>
      <c r="X176" s="511">
        <v>1</v>
      </c>
      <c r="Y176" s="501" t="s">
        <v>853</v>
      </c>
      <c r="Z176" s="506">
        <v>1.9</v>
      </c>
      <c r="AA176" s="500">
        <f t="shared" si="52"/>
        <v>125666</v>
      </c>
      <c r="AB176" s="106"/>
      <c r="AC176" s="523"/>
      <c r="AD176" s="224">
        <f t="shared" si="59"/>
        <v>125666</v>
      </c>
      <c r="AE176" s="511">
        <v>1</v>
      </c>
      <c r="AF176" s="501" t="s">
        <v>1062</v>
      </c>
      <c r="AG176" s="506">
        <v>1.96</v>
      </c>
      <c r="AH176" s="500">
        <f t="shared" si="53"/>
        <v>129634.4</v>
      </c>
      <c r="AI176" s="106"/>
      <c r="AJ176" s="523"/>
      <c r="AK176" s="224">
        <f t="shared" si="60"/>
        <v>129634.4</v>
      </c>
    </row>
    <row r="177" spans="1:37" ht="25.5" x14ac:dyDescent="0.25">
      <c r="A177" s="494">
        <v>113</v>
      </c>
      <c r="B177" s="517" t="s">
        <v>878</v>
      </c>
      <c r="C177" s="517" t="s">
        <v>491</v>
      </c>
      <c r="D177" s="515" t="s">
        <v>879</v>
      </c>
      <c r="E177" s="511">
        <v>1</v>
      </c>
      <c r="F177" s="501" t="s">
        <v>852</v>
      </c>
      <c r="G177" s="506">
        <v>1.9</v>
      </c>
      <c r="H177" s="500">
        <f t="shared" si="51"/>
        <v>125666</v>
      </c>
      <c r="I177" s="106"/>
      <c r="J177" s="523"/>
      <c r="K177" s="224">
        <f t="shared" si="54"/>
        <v>125666</v>
      </c>
      <c r="L177" s="511">
        <v>1</v>
      </c>
      <c r="M177" s="515" t="s">
        <v>851</v>
      </c>
      <c r="N177" s="516">
        <v>1.84</v>
      </c>
      <c r="O177" s="512">
        <f t="shared" si="61"/>
        <v>121697.60000000001</v>
      </c>
      <c r="P177" s="512"/>
      <c r="Q177" s="522"/>
      <c r="R177" s="512">
        <f>O177+P177+Q177</f>
        <v>121697.60000000001</v>
      </c>
      <c r="S177" s="224">
        <f t="shared" si="58"/>
        <v>0</v>
      </c>
      <c r="T177" s="224">
        <f t="shared" si="50"/>
        <v>3968.3999999999942</v>
      </c>
      <c r="U177" s="224">
        <f t="shared" si="50"/>
        <v>0</v>
      </c>
      <c r="V177" s="224">
        <f t="shared" si="50"/>
        <v>0</v>
      </c>
      <c r="W177" s="224">
        <f t="shared" si="63"/>
        <v>3968.3999999999942</v>
      </c>
      <c r="X177" s="511">
        <v>1</v>
      </c>
      <c r="Y177" s="501" t="s">
        <v>853</v>
      </c>
      <c r="Z177" s="506">
        <v>1.9</v>
      </c>
      <c r="AA177" s="500">
        <f t="shared" si="52"/>
        <v>125666</v>
      </c>
      <c r="AB177" s="106"/>
      <c r="AC177" s="523"/>
      <c r="AD177" s="224">
        <f t="shared" si="59"/>
        <v>125666</v>
      </c>
      <c r="AE177" s="511">
        <v>1</v>
      </c>
      <c r="AF177" s="501" t="s">
        <v>1062</v>
      </c>
      <c r="AG177" s="506">
        <v>1.96</v>
      </c>
      <c r="AH177" s="500">
        <f t="shared" si="53"/>
        <v>129634.4</v>
      </c>
      <c r="AI177" s="106"/>
      <c r="AJ177" s="523"/>
      <c r="AK177" s="224">
        <f t="shared" si="60"/>
        <v>129634.4</v>
      </c>
    </row>
    <row r="178" spans="1:37" ht="25.5" x14ac:dyDescent="0.25">
      <c r="A178" s="494">
        <v>114</v>
      </c>
      <c r="B178" s="517" t="s">
        <v>880</v>
      </c>
      <c r="C178" s="517" t="s">
        <v>491</v>
      </c>
      <c r="D178" s="515" t="s">
        <v>881</v>
      </c>
      <c r="E178" s="511">
        <v>1</v>
      </c>
      <c r="F178" s="501" t="s">
        <v>852</v>
      </c>
      <c r="G178" s="506">
        <v>1.9</v>
      </c>
      <c r="H178" s="500">
        <f t="shared" si="51"/>
        <v>125666</v>
      </c>
      <c r="I178" s="106"/>
      <c r="J178" s="523"/>
      <c r="K178" s="224">
        <f t="shared" si="54"/>
        <v>125666</v>
      </c>
      <c r="L178" s="511">
        <v>1</v>
      </c>
      <c r="M178" s="515" t="s">
        <v>851</v>
      </c>
      <c r="N178" s="516">
        <v>1.84</v>
      </c>
      <c r="O178" s="512">
        <f t="shared" si="61"/>
        <v>121697.60000000001</v>
      </c>
      <c r="P178" s="512"/>
      <c r="Q178" s="522"/>
      <c r="R178" s="512">
        <f>O178+P178+Q178</f>
        <v>121697.60000000001</v>
      </c>
      <c r="S178" s="224">
        <f t="shared" si="58"/>
        <v>0</v>
      </c>
      <c r="T178" s="224">
        <f t="shared" si="50"/>
        <v>3968.3999999999942</v>
      </c>
      <c r="U178" s="224">
        <f t="shared" si="50"/>
        <v>0</v>
      </c>
      <c r="V178" s="224">
        <f t="shared" si="50"/>
        <v>0</v>
      </c>
      <c r="W178" s="224">
        <f t="shared" si="63"/>
        <v>3968.3999999999942</v>
      </c>
      <c r="X178" s="511">
        <v>1</v>
      </c>
      <c r="Y178" s="501" t="s">
        <v>853</v>
      </c>
      <c r="Z178" s="506">
        <v>1.9</v>
      </c>
      <c r="AA178" s="500">
        <f t="shared" si="52"/>
        <v>125666</v>
      </c>
      <c r="AB178" s="106"/>
      <c r="AC178" s="523"/>
      <c r="AD178" s="224">
        <f t="shared" si="59"/>
        <v>125666</v>
      </c>
      <c r="AE178" s="511">
        <v>1</v>
      </c>
      <c r="AF178" s="501" t="s">
        <v>1062</v>
      </c>
      <c r="AG178" s="506">
        <v>1.96</v>
      </c>
      <c r="AH178" s="500">
        <f t="shared" si="53"/>
        <v>129634.4</v>
      </c>
      <c r="AI178" s="106"/>
      <c r="AJ178" s="523"/>
      <c r="AK178" s="224">
        <f t="shared" si="60"/>
        <v>129634.4</v>
      </c>
    </row>
    <row r="179" spans="1:37" ht="51" x14ac:dyDescent="0.25">
      <c r="A179" s="494">
        <v>115</v>
      </c>
      <c r="B179" s="517" t="s">
        <v>882</v>
      </c>
      <c r="C179" s="517" t="s">
        <v>491</v>
      </c>
      <c r="D179" s="515" t="s">
        <v>883</v>
      </c>
      <c r="E179" s="511">
        <v>1</v>
      </c>
      <c r="F179" s="501" t="s">
        <v>852</v>
      </c>
      <c r="G179" s="506">
        <v>1.9</v>
      </c>
      <c r="H179" s="500">
        <f t="shared" si="51"/>
        <v>125666</v>
      </c>
      <c r="I179" s="106"/>
      <c r="J179" s="523"/>
      <c r="K179" s="224">
        <f t="shared" si="54"/>
        <v>125666</v>
      </c>
      <c r="L179" s="511">
        <v>1</v>
      </c>
      <c r="M179" s="515" t="s">
        <v>884</v>
      </c>
      <c r="N179" s="516">
        <v>1.84</v>
      </c>
      <c r="O179" s="512">
        <f t="shared" si="61"/>
        <v>121697.60000000001</v>
      </c>
      <c r="P179" s="512"/>
      <c r="Q179" s="522"/>
      <c r="R179" s="512">
        <f>O179+P179+Q179</f>
        <v>121697.60000000001</v>
      </c>
      <c r="S179" s="224">
        <f t="shared" si="58"/>
        <v>0</v>
      </c>
      <c r="T179" s="224">
        <f t="shared" si="50"/>
        <v>3968.3999999999942</v>
      </c>
      <c r="U179" s="224">
        <f t="shared" si="50"/>
        <v>0</v>
      </c>
      <c r="V179" s="224">
        <f t="shared" si="50"/>
        <v>0</v>
      </c>
      <c r="W179" s="224">
        <f t="shared" si="63"/>
        <v>3968.3999999999942</v>
      </c>
      <c r="X179" s="511">
        <v>1</v>
      </c>
      <c r="Y179" s="501" t="s">
        <v>853</v>
      </c>
      <c r="Z179" s="506">
        <v>1.9</v>
      </c>
      <c r="AA179" s="500">
        <f t="shared" si="52"/>
        <v>125666</v>
      </c>
      <c r="AB179" s="106"/>
      <c r="AC179" s="523"/>
      <c r="AD179" s="224">
        <f t="shared" si="59"/>
        <v>125666</v>
      </c>
      <c r="AE179" s="511">
        <v>1</v>
      </c>
      <c r="AF179" s="501" t="s">
        <v>1062</v>
      </c>
      <c r="AG179" s="506">
        <v>1.96</v>
      </c>
      <c r="AH179" s="500">
        <f t="shared" si="53"/>
        <v>129634.4</v>
      </c>
      <c r="AI179" s="106"/>
      <c r="AJ179" s="523"/>
      <c r="AK179" s="224">
        <f t="shared" si="60"/>
        <v>129634.4</v>
      </c>
    </row>
    <row r="180" spans="1:37" x14ac:dyDescent="0.25">
      <c r="A180" s="494"/>
      <c r="B180" s="518" t="s">
        <v>169</v>
      </c>
      <c r="C180" s="519" t="s">
        <v>1</v>
      </c>
      <c r="D180" s="519" t="s">
        <v>1</v>
      </c>
      <c r="E180" s="520">
        <f>SUM(E170:E179)</f>
        <v>10</v>
      </c>
      <c r="F180" s="519" t="s">
        <v>1</v>
      </c>
      <c r="G180" s="519" t="s">
        <v>1</v>
      </c>
      <c r="H180" s="520">
        <f>H170+H171+H172+H173+H174+H175+H176+H177+H178+H179</f>
        <v>1492118.4</v>
      </c>
      <c r="I180" s="520">
        <f>I170+I171+I172+I173+I174+I175+I176+I177+I178+I179</f>
        <v>0</v>
      </c>
      <c r="J180" s="520">
        <f>J170+J171+J172+J173+J174+J175+J176+J177+J178+J179</f>
        <v>21760.059999999998</v>
      </c>
      <c r="K180" s="520">
        <f>K170+K171+K172+K173+K174+K175+K176+K177+K178+K179</f>
        <v>1513878.46</v>
      </c>
      <c r="L180" s="520">
        <f>SUM(L170:L179)</f>
        <v>10</v>
      </c>
      <c r="M180" s="519" t="s">
        <v>1</v>
      </c>
      <c r="N180" s="519" t="s">
        <v>1</v>
      </c>
      <c r="O180" s="520">
        <f>SUM(O170:O179)</f>
        <v>1476244.8000000003</v>
      </c>
      <c r="P180" s="520">
        <f>SUM(P170:P179)</f>
        <v>0</v>
      </c>
      <c r="Q180" s="520">
        <f>SUM(Q170:Q179)</f>
        <v>21760.059999999998</v>
      </c>
      <c r="R180" s="520">
        <f>R170+R171+R172+R173+R174+R175+R176+R177+R178+R179</f>
        <v>1498004.8600000003</v>
      </c>
      <c r="S180" s="224">
        <f t="shared" si="58"/>
        <v>0</v>
      </c>
      <c r="T180" s="224">
        <f t="shared" si="50"/>
        <v>15873.599999999627</v>
      </c>
      <c r="U180" s="224">
        <f t="shared" si="50"/>
        <v>0</v>
      </c>
      <c r="V180" s="224">
        <f t="shared" si="50"/>
        <v>0</v>
      </c>
      <c r="W180" s="224">
        <f t="shared" si="63"/>
        <v>15873.599999999627</v>
      </c>
      <c r="X180" s="520">
        <f>SUM(X170:X179)</f>
        <v>10</v>
      </c>
      <c r="Y180" s="519" t="s">
        <v>1</v>
      </c>
      <c r="Z180" s="519" t="s">
        <v>1</v>
      </c>
      <c r="AA180" s="520">
        <f>SUM(AA170:AA179)</f>
        <v>1496086.7999999998</v>
      </c>
      <c r="AB180" s="520">
        <f>SUM(AB170:AB179)</f>
        <v>0</v>
      </c>
      <c r="AC180" s="520">
        <f>SUM(AC170:AC179)</f>
        <v>28440.2</v>
      </c>
      <c r="AD180" s="520">
        <f>SUM(AD170:AD179)</f>
        <v>1524527</v>
      </c>
      <c r="AE180" s="520">
        <f>SUM(AE170:AE179)</f>
        <v>10</v>
      </c>
      <c r="AF180" s="519" t="s">
        <v>1</v>
      </c>
      <c r="AG180" s="519" t="s">
        <v>1</v>
      </c>
      <c r="AH180" s="520">
        <f>SUM(AH170:AH179)</f>
        <v>1511960.3999999997</v>
      </c>
      <c r="AI180" s="520">
        <f>SUM(AI170:AI179)</f>
        <v>0</v>
      </c>
      <c r="AJ180" s="520">
        <f>SUM(AJ170:AJ179)</f>
        <v>21958.48</v>
      </c>
      <c r="AK180" s="520">
        <f>SUM(AK170:AK179)</f>
        <v>1533918.8799999997</v>
      </c>
    </row>
    <row r="181" spans="1:37" ht="13.5" customHeight="1" x14ac:dyDescent="0.25">
      <c r="A181" s="494"/>
      <c r="B181" s="601" t="s">
        <v>885</v>
      </c>
      <c r="C181" s="601"/>
      <c r="D181" s="601"/>
      <c r="E181" s="511"/>
      <c r="F181" s="498"/>
      <c r="G181" s="506"/>
      <c r="H181" s="500">
        <f t="shared" si="51"/>
        <v>0</v>
      </c>
      <c r="I181" s="106"/>
      <c r="J181" s="523"/>
      <c r="K181" s="224">
        <f t="shared" si="54"/>
        <v>0</v>
      </c>
      <c r="L181" s="511"/>
      <c r="M181" s="498"/>
      <c r="N181" s="506"/>
      <c r="O181" s="512"/>
      <c r="P181" s="512"/>
      <c r="Q181" s="523"/>
      <c r="R181" s="512"/>
      <c r="S181" s="224">
        <f t="shared" si="58"/>
        <v>0</v>
      </c>
      <c r="T181" s="224">
        <f t="shared" si="50"/>
        <v>0</v>
      </c>
      <c r="U181" s="224">
        <f t="shared" si="50"/>
        <v>0</v>
      </c>
      <c r="V181" s="224">
        <f t="shared" si="50"/>
        <v>0</v>
      </c>
      <c r="W181" s="224">
        <f t="shared" si="63"/>
        <v>0</v>
      </c>
      <c r="X181" s="511"/>
      <c r="Y181" s="498"/>
      <c r="Z181" s="506"/>
      <c r="AA181" s="500">
        <f t="shared" si="52"/>
        <v>0</v>
      </c>
      <c r="AB181" s="106"/>
      <c r="AC181" s="523"/>
      <c r="AD181" s="224">
        <f t="shared" si="59"/>
        <v>0</v>
      </c>
      <c r="AE181" s="511"/>
      <c r="AF181" s="498"/>
      <c r="AG181" s="506"/>
      <c r="AH181" s="500">
        <f t="shared" si="53"/>
        <v>0</v>
      </c>
      <c r="AI181" s="106"/>
      <c r="AJ181" s="523"/>
      <c r="AK181" s="224">
        <f t="shared" si="60"/>
        <v>0</v>
      </c>
    </row>
    <row r="182" spans="1:37" ht="25.5" x14ac:dyDescent="0.25">
      <c r="A182" s="494">
        <v>116</v>
      </c>
      <c r="B182" s="498" t="s">
        <v>886</v>
      </c>
      <c r="C182" s="498" t="s">
        <v>677</v>
      </c>
      <c r="D182" s="501" t="s">
        <v>887</v>
      </c>
      <c r="E182" s="511">
        <v>1</v>
      </c>
      <c r="F182" s="501" t="s">
        <v>889</v>
      </c>
      <c r="G182" s="506">
        <v>4.4000000000000004</v>
      </c>
      <c r="H182" s="500">
        <f t="shared" si="51"/>
        <v>291016</v>
      </c>
      <c r="I182" s="106"/>
      <c r="J182" s="523">
        <f>H182*0.05</f>
        <v>14550.800000000001</v>
      </c>
      <c r="K182" s="224">
        <f t="shared" si="54"/>
        <v>305566.8</v>
      </c>
      <c r="L182" s="511">
        <v>1</v>
      </c>
      <c r="M182" s="501" t="s">
        <v>888</v>
      </c>
      <c r="N182" s="506">
        <v>4.4000000000000004</v>
      </c>
      <c r="O182" s="512">
        <f t="shared" ref="O182:O188" si="64">N182*66140</f>
        <v>291016</v>
      </c>
      <c r="P182" s="512"/>
      <c r="Q182" s="523">
        <f>O182*0.05</f>
        <v>14550.800000000001</v>
      </c>
      <c r="R182" s="512">
        <f t="shared" ref="R182:R188" si="65">O182+P182+Q182</f>
        <v>305566.8</v>
      </c>
      <c r="S182" s="224">
        <f t="shared" si="58"/>
        <v>0</v>
      </c>
      <c r="T182" s="224">
        <f t="shared" si="50"/>
        <v>0</v>
      </c>
      <c r="U182" s="224">
        <f t="shared" si="50"/>
        <v>0</v>
      </c>
      <c r="V182" s="224">
        <f t="shared" si="50"/>
        <v>0</v>
      </c>
      <c r="W182" s="224">
        <f t="shared" si="63"/>
        <v>0</v>
      </c>
      <c r="X182" s="511">
        <v>1</v>
      </c>
      <c r="Y182" s="501" t="s">
        <v>890</v>
      </c>
      <c r="Z182" s="506">
        <v>4.4000000000000004</v>
      </c>
      <c r="AA182" s="500">
        <f t="shared" si="52"/>
        <v>291016</v>
      </c>
      <c r="AB182" s="106"/>
      <c r="AC182" s="523">
        <f>AA182*0.05</f>
        <v>14550.800000000001</v>
      </c>
      <c r="AD182" s="224">
        <f t="shared" si="59"/>
        <v>305566.8</v>
      </c>
      <c r="AE182" s="511">
        <v>1</v>
      </c>
      <c r="AF182" s="501" t="s">
        <v>1066</v>
      </c>
      <c r="AG182" s="506">
        <v>4.4000000000000004</v>
      </c>
      <c r="AH182" s="500">
        <f t="shared" si="53"/>
        <v>291016</v>
      </c>
      <c r="AI182" s="106"/>
      <c r="AJ182" s="523">
        <f>AH182*0.05</f>
        <v>14550.800000000001</v>
      </c>
      <c r="AK182" s="224">
        <f t="shared" si="60"/>
        <v>305566.8</v>
      </c>
    </row>
    <row r="183" spans="1:37" ht="25.5" x14ac:dyDescent="0.25">
      <c r="A183" s="494">
        <v>117</v>
      </c>
      <c r="B183" s="517" t="s">
        <v>891</v>
      </c>
      <c r="C183" s="517" t="s">
        <v>536</v>
      </c>
      <c r="D183" s="515" t="s">
        <v>892</v>
      </c>
      <c r="E183" s="513">
        <v>1</v>
      </c>
      <c r="F183" s="515" t="s">
        <v>858</v>
      </c>
      <c r="G183" s="516">
        <v>2.75</v>
      </c>
      <c r="H183" s="500">
        <f t="shared" si="51"/>
        <v>181885</v>
      </c>
      <c r="I183" s="106"/>
      <c r="J183" s="522">
        <f>H183*0.05</f>
        <v>9094.25</v>
      </c>
      <c r="K183" s="224">
        <f t="shared" si="54"/>
        <v>190979.25</v>
      </c>
      <c r="L183" s="513">
        <v>1</v>
      </c>
      <c r="M183" s="515" t="s">
        <v>857</v>
      </c>
      <c r="N183" s="516">
        <v>2.66</v>
      </c>
      <c r="O183" s="514">
        <f t="shared" si="64"/>
        <v>175932.40000000002</v>
      </c>
      <c r="P183" s="514"/>
      <c r="Q183" s="522">
        <f>O183*0.05</f>
        <v>8796.6200000000008</v>
      </c>
      <c r="R183" s="514">
        <f t="shared" si="65"/>
        <v>184729.02000000002</v>
      </c>
      <c r="S183" s="224">
        <f t="shared" si="58"/>
        <v>0</v>
      </c>
      <c r="T183" s="224">
        <f t="shared" si="50"/>
        <v>5952.5999999999767</v>
      </c>
      <c r="U183" s="224">
        <f t="shared" si="50"/>
        <v>0</v>
      </c>
      <c r="V183" s="224">
        <f t="shared" si="50"/>
        <v>297.6299999999992</v>
      </c>
      <c r="W183" s="224">
        <f t="shared" si="63"/>
        <v>6250.2299999999759</v>
      </c>
      <c r="X183" s="513">
        <v>1</v>
      </c>
      <c r="Y183" s="515" t="s">
        <v>859</v>
      </c>
      <c r="Z183" s="516">
        <v>2.75</v>
      </c>
      <c r="AA183" s="500">
        <f t="shared" si="52"/>
        <v>181885</v>
      </c>
      <c r="AB183" s="106"/>
      <c r="AC183" s="522">
        <f>AA183*0.05</f>
        <v>9094.25</v>
      </c>
      <c r="AD183" s="224">
        <f t="shared" si="59"/>
        <v>190979.25</v>
      </c>
      <c r="AE183" s="513">
        <v>1</v>
      </c>
      <c r="AF183" s="515" t="s">
        <v>1067</v>
      </c>
      <c r="AG183" s="516">
        <v>2.75</v>
      </c>
      <c r="AH183" s="500">
        <f t="shared" si="53"/>
        <v>181885</v>
      </c>
      <c r="AI183" s="106"/>
      <c r="AJ183" s="522">
        <f>AH183*0.05</f>
        <v>9094.25</v>
      </c>
      <c r="AK183" s="224">
        <f t="shared" si="60"/>
        <v>190979.25</v>
      </c>
    </row>
    <row r="184" spans="1:37" ht="25.5" x14ac:dyDescent="0.25">
      <c r="A184" s="494">
        <v>118</v>
      </c>
      <c r="B184" s="498" t="s">
        <v>893</v>
      </c>
      <c r="C184" s="498" t="s">
        <v>491</v>
      </c>
      <c r="D184" s="501" t="s">
        <v>894</v>
      </c>
      <c r="E184" s="511">
        <v>1</v>
      </c>
      <c r="F184" s="501" t="s">
        <v>896</v>
      </c>
      <c r="G184" s="506">
        <v>2.2799999999999998</v>
      </c>
      <c r="H184" s="500">
        <f t="shared" si="51"/>
        <v>150799.19999999998</v>
      </c>
      <c r="I184" s="106"/>
      <c r="J184" s="523">
        <f>H184*0.05</f>
        <v>7539.9599999999991</v>
      </c>
      <c r="K184" s="224">
        <f t="shared" si="54"/>
        <v>158339.15999999997</v>
      </c>
      <c r="L184" s="511">
        <v>1</v>
      </c>
      <c r="M184" s="501" t="s">
        <v>895</v>
      </c>
      <c r="N184" s="506">
        <v>2.2799999999999998</v>
      </c>
      <c r="O184" s="512">
        <f t="shared" si="64"/>
        <v>150799.19999999998</v>
      </c>
      <c r="P184" s="512"/>
      <c r="Q184" s="523">
        <f>O184*0.05</f>
        <v>7539.9599999999991</v>
      </c>
      <c r="R184" s="512">
        <f t="shared" si="65"/>
        <v>158339.15999999997</v>
      </c>
      <c r="S184" s="224">
        <f t="shared" si="58"/>
        <v>0</v>
      </c>
      <c r="T184" s="224">
        <f t="shared" si="50"/>
        <v>0</v>
      </c>
      <c r="U184" s="224">
        <f t="shared" si="50"/>
        <v>0</v>
      </c>
      <c r="V184" s="224">
        <f t="shared" si="50"/>
        <v>0</v>
      </c>
      <c r="W184" s="224">
        <f t="shared" si="63"/>
        <v>0</v>
      </c>
      <c r="X184" s="511">
        <v>1</v>
      </c>
      <c r="Y184" s="501" t="s">
        <v>897</v>
      </c>
      <c r="Z184" s="506">
        <v>2.2799999999999998</v>
      </c>
      <c r="AA184" s="500">
        <f t="shared" si="52"/>
        <v>150799.19999999998</v>
      </c>
      <c r="AB184" s="106"/>
      <c r="AC184" s="523">
        <f>AA184*0.05</f>
        <v>7539.9599999999991</v>
      </c>
      <c r="AD184" s="224">
        <f t="shared" si="59"/>
        <v>158339.15999999997</v>
      </c>
      <c r="AE184" s="511">
        <v>1</v>
      </c>
      <c r="AF184" s="501" t="s">
        <v>1068</v>
      </c>
      <c r="AG184" s="506">
        <v>2.2799999999999998</v>
      </c>
      <c r="AH184" s="500">
        <f t="shared" si="53"/>
        <v>150799.19999999998</v>
      </c>
      <c r="AI184" s="106"/>
      <c r="AJ184" s="523">
        <f>AH184*0.05</f>
        <v>7539.9599999999991</v>
      </c>
      <c r="AK184" s="224">
        <f t="shared" si="60"/>
        <v>158339.15999999997</v>
      </c>
    </row>
    <row r="185" spans="1:37" ht="25.5" x14ac:dyDescent="0.25">
      <c r="A185" s="494">
        <v>119</v>
      </c>
      <c r="B185" s="498" t="s">
        <v>973</v>
      </c>
      <c r="C185" s="498" t="s">
        <v>491</v>
      </c>
      <c r="D185" s="501" t="s">
        <v>898</v>
      </c>
      <c r="E185" s="511">
        <v>1</v>
      </c>
      <c r="F185" s="501" t="s">
        <v>982</v>
      </c>
      <c r="G185" s="506">
        <v>1.73</v>
      </c>
      <c r="H185" s="500">
        <f t="shared" si="51"/>
        <v>114422.2</v>
      </c>
      <c r="I185" s="106"/>
      <c r="J185" s="523"/>
      <c r="K185" s="224">
        <f t="shared" si="54"/>
        <v>114422.2</v>
      </c>
      <c r="L185" s="511">
        <v>1</v>
      </c>
      <c r="M185" s="501" t="s">
        <v>981</v>
      </c>
      <c r="N185" s="506">
        <v>1.68</v>
      </c>
      <c r="O185" s="512">
        <f t="shared" si="64"/>
        <v>111115.2</v>
      </c>
      <c r="P185" s="512"/>
      <c r="Q185" s="523"/>
      <c r="R185" s="512">
        <f t="shared" si="65"/>
        <v>111115.2</v>
      </c>
      <c r="S185" s="224">
        <f t="shared" si="58"/>
        <v>0</v>
      </c>
      <c r="T185" s="224">
        <f t="shared" si="50"/>
        <v>3307</v>
      </c>
      <c r="U185" s="224">
        <f t="shared" si="50"/>
        <v>0</v>
      </c>
      <c r="V185" s="224">
        <f t="shared" si="50"/>
        <v>0</v>
      </c>
      <c r="W185" s="224">
        <f t="shared" si="63"/>
        <v>3307</v>
      </c>
      <c r="X185" s="511">
        <v>1</v>
      </c>
      <c r="Y185" s="501" t="s">
        <v>994</v>
      </c>
      <c r="Z185" s="506">
        <v>1.79</v>
      </c>
      <c r="AA185" s="500">
        <f t="shared" si="52"/>
        <v>118390.6</v>
      </c>
      <c r="AB185" s="106"/>
      <c r="AC185" s="523"/>
      <c r="AD185" s="224">
        <f t="shared" si="59"/>
        <v>118390.6</v>
      </c>
      <c r="AE185" s="511">
        <v>1</v>
      </c>
      <c r="AF185" s="501" t="s">
        <v>1069</v>
      </c>
      <c r="AG185" s="506">
        <v>1.84</v>
      </c>
      <c r="AH185" s="500">
        <f t="shared" si="53"/>
        <v>121697.60000000001</v>
      </c>
      <c r="AI185" s="106"/>
      <c r="AJ185" s="523"/>
      <c r="AK185" s="224">
        <f t="shared" si="60"/>
        <v>121697.60000000001</v>
      </c>
    </row>
    <row r="186" spans="1:37" ht="25.5" x14ac:dyDescent="0.25">
      <c r="A186" s="494">
        <v>120</v>
      </c>
      <c r="B186" s="498" t="s">
        <v>899</v>
      </c>
      <c r="C186" s="498" t="s">
        <v>491</v>
      </c>
      <c r="D186" s="501" t="s">
        <v>900</v>
      </c>
      <c r="E186" s="511">
        <v>1</v>
      </c>
      <c r="F186" s="501" t="s">
        <v>852</v>
      </c>
      <c r="G186" s="506">
        <v>1.9</v>
      </c>
      <c r="H186" s="500">
        <f t="shared" si="51"/>
        <v>125666</v>
      </c>
      <c r="I186" s="106"/>
      <c r="J186" s="523"/>
      <c r="K186" s="224">
        <f t="shared" si="54"/>
        <v>125666</v>
      </c>
      <c r="L186" s="511">
        <v>1</v>
      </c>
      <c r="M186" s="501" t="s">
        <v>851</v>
      </c>
      <c r="N186" s="506">
        <v>1.84</v>
      </c>
      <c r="O186" s="512">
        <f t="shared" si="64"/>
        <v>121697.60000000001</v>
      </c>
      <c r="P186" s="512"/>
      <c r="Q186" s="523"/>
      <c r="R186" s="512">
        <f t="shared" si="65"/>
        <v>121697.60000000001</v>
      </c>
      <c r="S186" s="224">
        <f t="shared" si="58"/>
        <v>0</v>
      </c>
      <c r="T186" s="224">
        <f t="shared" si="50"/>
        <v>3968.3999999999942</v>
      </c>
      <c r="U186" s="224">
        <f t="shared" si="50"/>
        <v>0</v>
      </c>
      <c r="V186" s="224">
        <f t="shared" si="50"/>
        <v>0</v>
      </c>
      <c r="W186" s="224">
        <f t="shared" si="63"/>
        <v>3968.3999999999942</v>
      </c>
      <c r="X186" s="511">
        <v>1</v>
      </c>
      <c r="Y186" s="501" t="s">
        <v>853</v>
      </c>
      <c r="Z186" s="506">
        <v>1.9</v>
      </c>
      <c r="AA186" s="500">
        <f t="shared" si="52"/>
        <v>125666</v>
      </c>
      <c r="AB186" s="106"/>
      <c r="AC186" s="523"/>
      <c r="AD186" s="224">
        <f t="shared" si="59"/>
        <v>125666</v>
      </c>
      <c r="AE186" s="511">
        <v>1</v>
      </c>
      <c r="AF186" s="501" t="s">
        <v>1062</v>
      </c>
      <c r="AG186" s="506">
        <v>1.96</v>
      </c>
      <c r="AH186" s="500">
        <f t="shared" si="53"/>
        <v>129634.4</v>
      </c>
      <c r="AI186" s="106"/>
      <c r="AJ186" s="523"/>
      <c r="AK186" s="224">
        <f t="shared" si="60"/>
        <v>129634.4</v>
      </c>
    </row>
    <row r="187" spans="1:37" ht="25.5" x14ac:dyDescent="0.25">
      <c r="A187" s="494">
        <v>121</v>
      </c>
      <c r="B187" s="498" t="s">
        <v>901</v>
      </c>
      <c r="C187" s="498" t="s">
        <v>491</v>
      </c>
      <c r="D187" s="501" t="s">
        <v>902</v>
      </c>
      <c r="E187" s="511">
        <v>1</v>
      </c>
      <c r="F187" s="501" t="s">
        <v>852</v>
      </c>
      <c r="G187" s="506">
        <v>1.9</v>
      </c>
      <c r="H187" s="500">
        <f t="shared" si="51"/>
        <v>125666</v>
      </c>
      <c r="I187" s="106"/>
      <c r="J187" s="523"/>
      <c r="K187" s="224">
        <f t="shared" si="54"/>
        <v>125666</v>
      </c>
      <c r="L187" s="511">
        <v>1</v>
      </c>
      <c r="M187" s="501" t="s">
        <v>851</v>
      </c>
      <c r="N187" s="506">
        <v>1.84</v>
      </c>
      <c r="O187" s="512">
        <f t="shared" si="64"/>
        <v>121697.60000000001</v>
      </c>
      <c r="P187" s="512"/>
      <c r="Q187" s="523"/>
      <c r="R187" s="512">
        <f t="shared" si="65"/>
        <v>121697.60000000001</v>
      </c>
      <c r="S187" s="224">
        <f t="shared" si="58"/>
        <v>0</v>
      </c>
      <c r="T187" s="224">
        <f t="shared" si="50"/>
        <v>3968.3999999999942</v>
      </c>
      <c r="U187" s="224">
        <f t="shared" si="50"/>
        <v>0</v>
      </c>
      <c r="V187" s="224">
        <f t="shared" si="50"/>
        <v>0</v>
      </c>
      <c r="W187" s="224">
        <f t="shared" si="63"/>
        <v>3968.3999999999942</v>
      </c>
      <c r="X187" s="511">
        <v>1</v>
      </c>
      <c r="Y187" s="501" t="s">
        <v>853</v>
      </c>
      <c r="Z187" s="506">
        <v>1.9</v>
      </c>
      <c r="AA187" s="500">
        <f t="shared" si="52"/>
        <v>125666</v>
      </c>
      <c r="AB187" s="106"/>
      <c r="AC187" s="523"/>
      <c r="AD187" s="224">
        <f t="shared" si="59"/>
        <v>125666</v>
      </c>
      <c r="AE187" s="511">
        <v>1</v>
      </c>
      <c r="AF187" s="501" t="s">
        <v>1062</v>
      </c>
      <c r="AG187" s="506">
        <v>1.96</v>
      </c>
      <c r="AH187" s="500">
        <f t="shared" si="53"/>
        <v>129634.4</v>
      </c>
      <c r="AI187" s="106"/>
      <c r="AJ187" s="523"/>
      <c r="AK187" s="224">
        <f t="shared" si="60"/>
        <v>129634.4</v>
      </c>
    </row>
    <row r="188" spans="1:37" ht="25.5" x14ac:dyDescent="0.25">
      <c r="A188" s="494">
        <v>122</v>
      </c>
      <c r="B188" s="517" t="s">
        <v>903</v>
      </c>
      <c r="C188" s="517" t="s">
        <v>491</v>
      </c>
      <c r="D188" s="515" t="s">
        <v>904</v>
      </c>
      <c r="E188" s="511">
        <v>1</v>
      </c>
      <c r="F188" s="501" t="s">
        <v>852</v>
      </c>
      <c r="G188" s="506">
        <v>1.9</v>
      </c>
      <c r="H188" s="500">
        <f t="shared" si="51"/>
        <v>125666</v>
      </c>
      <c r="I188" s="106"/>
      <c r="J188" s="523"/>
      <c r="K188" s="224">
        <f t="shared" si="54"/>
        <v>125666</v>
      </c>
      <c r="L188" s="511">
        <v>1</v>
      </c>
      <c r="M188" s="515" t="s">
        <v>851</v>
      </c>
      <c r="N188" s="516">
        <v>1.84</v>
      </c>
      <c r="O188" s="512">
        <f t="shared" si="64"/>
        <v>121697.60000000001</v>
      </c>
      <c r="P188" s="512"/>
      <c r="Q188" s="522"/>
      <c r="R188" s="512">
        <f t="shared" si="65"/>
        <v>121697.60000000001</v>
      </c>
      <c r="S188" s="224">
        <f t="shared" si="58"/>
        <v>0</v>
      </c>
      <c r="T188" s="224">
        <f t="shared" si="50"/>
        <v>3968.3999999999942</v>
      </c>
      <c r="U188" s="224">
        <f t="shared" si="50"/>
        <v>0</v>
      </c>
      <c r="V188" s="224">
        <f t="shared" si="50"/>
        <v>0</v>
      </c>
      <c r="W188" s="224">
        <f t="shared" si="63"/>
        <v>3968.3999999999942</v>
      </c>
      <c r="X188" s="511">
        <v>1</v>
      </c>
      <c r="Y188" s="501" t="s">
        <v>853</v>
      </c>
      <c r="Z188" s="506">
        <v>1.9</v>
      </c>
      <c r="AA188" s="500">
        <f t="shared" si="52"/>
        <v>125666</v>
      </c>
      <c r="AB188" s="106"/>
      <c r="AC188" s="523"/>
      <c r="AD188" s="224">
        <f t="shared" si="59"/>
        <v>125666</v>
      </c>
      <c r="AE188" s="511">
        <v>1</v>
      </c>
      <c r="AF188" s="501" t="s">
        <v>1062</v>
      </c>
      <c r="AG188" s="506">
        <v>1.96</v>
      </c>
      <c r="AH188" s="500">
        <f t="shared" si="53"/>
        <v>129634.4</v>
      </c>
      <c r="AI188" s="106"/>
      <c r="AJ188" s="523"/>
      <c r="AK188" s="224">
        <f t="shared" si="60"/>
        <v>129634.4</v>
      </c>
    </row>
    <row r="189" spans="1:37" x14ac:dyDescent="0.25">
      <c r="A189" s="494"/>
      <c r="B189" s="518" t="s">
        <v>169</v>
      </c>
      <c r="C189" s="519" t="s">
        <v>1</v>
      </c>
      <c r="D189" s="519" t="s">
        <v>1</v>
      </c>
      <c r="E189" s="520">
        <f>SUM(E182:E188)</f>
        <v>7</v>
      </c>
      <c r="F189" s="519" t="s">
        <v>1</v>
      </c>
      <c r="G189" s="519" t="s">
        <v>1</v>
      </c>
      <c r="H189" s="520">
        <f>H182+H183+H184+H185+H186+H187+H188</f>
        <v>1115120.3999999999</v>
      </c>
      <c r="I189" s="520">
        <f>SUM(I182:I188)</f>
        <v>0</v>
      </c>
      <c r="J189" s="520">
        <f>SUM(J182:J188)</f>
        <v>31185.010000000002</v>
      </c>
      <c r="K189" s="520">
        <f>SUM(K182:K188)</f>
        <v>1146305.4099999999</v>
      </c>
      <c r="L189" s="520">
        <f>SUM(L182:L188)</f>
        <v>7</v>
      </c>
      <c r="M189" s="519" t="s">
        <v>1</v>
      </c>
      <c r="N189" s="519" t="s">
        <v>1</v>
      </c>
      <c r="O189" s="520">
        <f>SUM(O182:O188)</f>
        <v>1093955.5999999999</v>
      </c>
      <c r="P189" s="520">
        <f>SUM(P182:P188)</f>
        <v>0</v>
      </c>
      <c r="Q189" s="520">
        <f>SUM(Q182:Q188)</f>
        <v>30887.38</v>
      </c>
      <c r="R189" s="520">
        <f>R182+R183+R184+R185+R186+R187+R188</f>
        <v>1124842.98</v>
      </c>
      <c r="S189" s="224">
        <f t="shared" si="58"/>
        <v>0</v>
      </c>
      <c r="T189" s="224">
        <f t="shared" si="50"/>
        <v>21164.800000000047</v>
      </c>
      <c r="U189" s="224">
        <f t="shared" si="50"/>
        <v>0</v>
      </c>
      <c r="V189" s="224">
        <f t="shared" si="50"/>
        <v>297.63000000000102</v>
      </c>
      <c r="W189" s="224">
        <f t="shared" si="63"/>
        <v>21462.430000000048</v>
      </c>
      <c r="X189" s="520">
        <f>SUM(X182:X188)</f>
        <v>7</v>
      </c>
      <c r="Y189" s="519" t="s">
        <v>1</v>
      </c>
      <c r="Z189" s="519" t="s">
        <v>1</v>
      </c>
      <c r="AA189" s="520">
        <f>SUM(AA182:AA188)</f>
        <v>1119088.7999999998</v>
      </c>
      <c r="AB189" s="520">
        <f>SUM(AB182:AB188)</f>
        <v>0</v>
      </c>
      <c r="AC189" s="520">
        <f>SUM(AC182:AC188)</f>
        <v>31185.010000000002</v>
      </c>
      <c r="AD189" s="520">
        <f>SUM(AD182:AD188)</f>
        <v>1150273.81</v>
      </c>
      <c r="AE189" s="520">
        <f>SUM(AE182:AE188)</f>
        <v>7</v>
      </c>
      <c r="AF189" s="519" t="s">
        <v>1</v>
      </c>
      <c r="AG189" s="519" t="s">
        <v>1</v>
      </c>
      <c r="AH189" s="520">
        <f>SUM(AH182:AH188)</f>
        <v>1134301</v>
      </c>
      <c r="AI189" s="520">
        <f>SUM(AI182:AI188)</f>
        <v>0</v>
      </c>
      <c r="AJ189" s="520">
        <f>SUM(AJ182:AJ188)</f>
        <v>31185.010000000002</v>
      </c>
      <c r="AK189" s="520">
        <f>SUM(AK182:AK188)</f>
        <v>1165486.01</v>
      </c>
    </row>
    <row r="190" spans="1:37" ht="13.5" customHeight="1" x14ac:dyDescent="0.25">
      <c r="A190" s="494"/>
      <c r="B190" s="601" t="s">
        <v>905</v>
      </c>
      <c r="C190" s="601"/>
      <c r="D190" s="601"/>
      <c r="E190" s="511"/>
      <c r="F190" s="498"/>
      <c r="G190" s="506"/>
      <c r="H190" s="500">
        <f t="shared" si="51"/>
        <v>0</v>
      </c>
      <c r="I190" s="106"/>
      <c r="J190" s="523"/>
      <c r="K190" s="224">
        <f t="shared" si="54"/>
        <v>0</v>
      </c>
      <c r="L190" s="511"/>
      <c r="M190" s="498"/>
      <c r="N190" s="506"/>
      <c r="O190" s="512"/>
      <c r="P190" s="512"/>
      <c r="Q190" s="523"/>
      <c r="R190" s="512"/>
      <c r="S190" s="224">
        <f t="shared" si="58"/>
        <v>0</v>
      </c>
      <c r="T190" s="224">
        <f t="shared" si="50"/>
        <v>0</v>
      </c>
      <c r="U190" s="224">
        <f t="shared" si="50"/>
        <v>0</v>
      </c>
      <c r="V190" s="224">
        <f t="shared" si="50"/>
        <v>0</v>
      </c>
      <c r="W190" s="224">
        <f t="shared" si="63"/>
        <v>0</v>
      </c>
      <c r="X190" s="511"/>
      <c r="Y190" s="498"/>
      <c r="Z190" s="506"/>
      <c r="AA190" s="500">
        <f t="shared" si="52"/>
        <v>0</v>
      </c>
      <c r="AB190" s="106"/>
      <c r="AC190" s="523"/>
      <c r="AD190" s="224"/>
      <c r="AE190" s="511"/>
      <c r="AF190" s="498"/>
      <c r="AG190" s="506"/>
      <c r="AH190" s="500">
        <f t="shared" si="53"/>
        <v>0</v>
      </c>
      <c r="AI190" s="106"/>
      <c r="AJ190" s="523"/>
      <c r="AK190" s="224"/>
    </row>
    <row r="191" spans="1:37" ht="25.5" x14ac:dyDescent="0.25">
      <c r="A191" s="494">
        <v>123</v>
      </c>
      <c r="B191" s="498" t="s">
        <v>906</v>
      </c>
      <c r="C191" s="498" t="s">
        <v>677</v>
      </c>
      <c r="D191" s="501" t="s">
        <v>907</v>
      </c>
      <c r="E191" s="511">
        <v>1</v>
      </c>
      <c r="F191" s="501" t="s">
        <v>974</v>
      </c>
      <c r="G191" s="506">
        <v>4.13</v>
      </c>
      <c r="H191" s="500">
        <f t="shared" si="51"/>
        <v>273158.2</v>
      </c>
      <c r="I191" s="106"/>
      <c r="J191" s="523">
        <f>H191*0.05</f>
        <v>13657.910000000002</v>
      </c>
      <c r="K191" s="224">
        <f t="shared" si="54"/>
        <v>286816.11</v>
      </c>
      <c r="L191" s="511">
        <v>1</v>
      </c>
      <c r="M191" s="501" t="s">
        <v>908</v>
      </c>
      <c r="N191" s="506">
        <v>4.13</v>
      </c>
      <c r="O191" s="512">
        <f t="shared" ref="O191:O199" si="66">N191*66140</f>
        <v>273158.2</v>
      </c>
      <c r="P191" s="512"/>
      <c r="Q191" s="523">
        <f>O191*0.05</f>
        <v>13657.910000000002</v>
      </c>
      <c r="R191" s="512">
        <f t="shared" ref="R191:R199" si="67">O191+P191+Q191</f>
        <v>286816.11</v>
      </c>
      <c r="S191" s="224">
        <f t="shared" si="58"/>
        <v>0</v>
      </c>
      <c r="T191" s="224">
        <f t="shared" si="50"/>
        <v>0</v>
      </c>
      <c r="U191" s="224">
        <f t="shared" si="50"/>
        <v>0</v>
      </c>
      <c r="V191" s="224">
        <f t="shared" si="50"/>
        <v>0</v>
      </c>
      <c r="W191" s="224">
        <f t="shared" si="63"/>
        <v>0</v>
      </c>
      <c r="X191" s="511">
        <v>1</v>
      </c>
      <c r="Y191" s="501" t="s">
        <v>909</v>
      </c>
      <c r="Z191" s="506">
        <v>4.13</v>
      </c>
      <c r="AA191" s="500">
        <f t="shared" si="52"/>
        <v>273158.2</v>
      </c>
      <c r="AB191" s="106"/>
      <c r="AC191" s="523"/>
      <c r="AD191" s="224">
        <f t="shared" si="59"/>
        <v>273158.2</v>
      </c>
      <c r="AE191" s="511">
        <v>1</v>
      </c>
      <c r="AF191" s="501" t="s">
        <v>1070</v>
      </c>
      <c r="AG191" s="506">
        <v>4.13</v>
      </c>
      <c r="AH191" s="500">
        <f t="shared" si="53"/>
        <v>273158.2</v>
      </c>
      <c r="AI191" s="106"/>
      <c r="AJ191" s="523"/>
      <c r="AK191" s="224">
        <f t="shared" si="60"/>
        <v>273158.2</v>
      </c>
    </row>
    <row r="192" spans="1:37" ht="25.5" x14ac:dyDescent="0.25">
      <c r="A192" s="494">
        <v>124</v>
      </c>
      <c r="B192" s="498" t="s">
        <v>910</v>
      </c>
      <c r="C192" s="498" t="s">
        <v>536</v>
      </c>
      <c r="D192" s="501" t="s">
        <v>911</v>
      </c>
      <c r="E192" s="511">
        <v>1</v>
      </c>
      <c r="F192" s="501" t="s">
        <v>913</v>
      </c>
      <c r="G192" s="506">
        <v>2.92</v>
      </c>
      <c r="H192" s="500">
        <f t="shared" si="51"/>
        <v>193128.8</v>
      </c>
      <c r="I192" s="106"/>
      <c r="J192" s="523">
        <f>H192*0.05</f>
        <v>9656.44</v>
      </c>
      <c r="K192" s="224">
        <f t="shared" si="54"/>
        <v>202785.24</v>
      </c>
      <c r="L192" s="511">
        <v>1</v>
      </c>
      <c r="M192" s="501" t="s">
        <v>912</v>
      </c>
      <c r="N192" s="506">
        <v>2.83</v>
      </c>
      <c r="O192" s="512">
        <f t="shared" si="66"/>
        <v>187176.2</v>
      </c>
      <c r="P192" s="512"/>
      <c r="Q192" s="523">
        <f>O192*0.05</f>
        <v>9358.8100000000013</v>
      </c>
      <c r="R192" s="512">
        <f t="shared" si="67"/>
        <v>196535.01</v>
      </c>
      <c r="S192" s="224">
        <f t="shared" si="58"/>
        <v>0</v>
      </c>
      <c r="T192" s="224">
        <f t="shared" si="50"/>
        <v>5952.5999999999767</v>
      </c>
      <c r="U192" s="224">
        <f t="shared" si="50"/>
        <v>0</v>
      </c>
      <c r="V192" s="224">
        <f t="shared" si="50"/>
        <v>297.6299999999992</v>
      </c>
      <c r="W192" s="224">
        <f t="shared" si="63"/>
        <v>6250.2299999999759</v>
      </c>
      <c r="X192" s="511">
        <v>1</v>
      </c>
      <c r="Y192" s="501" t="s">
        <v>914</v>
      </c>
      <c r="Z192" s="506">
        <v>2.92</v>
      </c>
      <c r="AA192" s="500">
        <f t="shared" si="52"/>
        <v>193128.8</v>
      </c>
      <c r="AB192" s="106"/>
      <c r="AC192" s="523">
        <f>AA192*0.05</f>
        <v>9656.44</v>
      </c>
      <c r="AD192" s="224">
        <f t="shared" si="59"/>
        <v>202785.24</v>
      </c>
      <c r="AE192" s="511">
        <v>1</v>
      </c>
      <c r="AF192" s="501" t="s">
        <v>1071</v>
      </c>
      <c r="AG192" s="506">
        <v>2.92</v>
      </c>
      <c r="AH192" s="500">
        <f t="shared" si="53"/>
        <v>193128.8</v>
      </c>
      <c r="AI192" s="106"/>
      <c r="AJ192" s="523">
        <f>AH192*0.05</f>
        <v>9656.44</v>
      </c>
      <c r="AK192" s="224">
        <f t="shared" si="60"/>
        <v>202785.24</v>
      </c>
    </row>
    <row r="193" spans="1:37" ht="25.5" x14ac:dyDescent="0.25">
      <c r="A193" s="494">
        <v>125</v>
      </c>
      <c r="B193" s="498" t="s">
        <v>482</v>
      </c>
      <c r="C193" s="498" t="s">
        <v>491</v>
      </c>
      <c r="D193" s="501" t="s">
        <v>915</v>
      </c>
      <c r="E193" s="511">
        <v>1</v>
      </c>
      <c r="F193" s="501"/>
      <c r="G193" s="506">
        <v>2.2799999999999998</v>
      </c>
      <c r="H193" s="500">
        <f t="shared" si="51"/>
        <v>150799.19999999998</v>
      </c>
      <c r="I193" s="106"/>
      <c r="J193" s="523"/>
      <c r="K193" s="224">
        <f t="shared" si="54"/>
        <v>150799.19999999998</v>
      </c>
      <c r="L193" s="511">
        <v>1</v>
      </c>
      <c r="M193" s="501"/>
      <c r="N193" s="506">
        <v>1.68</v>
      </c>
      <c r="O193" s="512">
        <f t="shared" si="66"/>
        <v>111115.2</v>
      </c>
      <c r="P193" s="512"/>
      <c r="Q193" s="523"/>
      <c r="R193" s="512">
        <f t="shared" si="67"/>
        <v>111115.2</v>
      </c>
      <c r="S193" s="224">
        <f t="shared" si="58"/>
        <v>0</v>
      </c>
      <c r="T193" s="224">
        <f t="shared" si="50"/>
        <v>39683.999999999985</v>
      </c>
      <c r="U193" s="224">
        <f t="shared" si="50"/>
        <v>0</v>
      </c>
      <c r="V193" s="224">
        <f t="shared" si="50"/>
        <v>0</v>
      </c>
      <c r="W193" s="224">
        <f t="shared" si="63"/>
        <v>39683.999999999985</v>
      </c>
      <c r="X193" s="511">
        <v>1</v>
      </c>
      <c r="Y193" s="501"/>
      <c r="Z193" s="506">
        <v>1.68</v>
      </c>
      <c r="AA193" s="500">
        <f t="shared" si="52"/>
        <v>111115.2</v>
      </c>
      <c r="AB193" s="106"/>
      <c r="AC193" s="523"/>
      <c r="AD193" s="224">
        <f t="shared" si="59"/>
        <v>111115.2</v>
      </c>
      <c r="AE193" s="511">
        <v>1</v>
      </c>
      <c r="AF193" s="501" t="s">
        <v>1072</v>
      </c>
      <c r="AG193" s="506">
        <v>2.21</v>
      </c>
      <c r="AH193" s="500">
        <f t="shared" si="53"/>
        <v>146169.4</v>
      </c>
      <c r="AI193" s="106"/>
      <c r="AJ193" s="523">
        <f>AH193*0.05</f>
        <v>7308.47</v>
      </c>
      <c r="AK193" s="224">
        <f t="shared" si="60"/>
        <v>153477.87</v>
      </c>
    </row>
    <row r="194" spans="1:37" ht="25.5" x14ac:dyDescent="0.25">
      <c r="A194" s="494">
        <v>126</v>
      </c>
      <c r="B194" s="517" t="s">
        <v>916</v>
      </c>
      <c r="C194" s="517" t="s">
        <v>491</v>
      </c>
      <c r="D194" s="515" t="s">
        <v>917</v>
      </c>
      <c r="E194" s="511">
        <v>1</v>
      </c>
      <c r="F194" s="501" t="s">
        <v>919</v>
      </c>
      <c r="G194" s="506">
        <v>2.2799999999999998</v>
      </c>
      <c r="H194" s="500">
        <f t="shared" si="51"/>
        <v>150799.19999999998</v>
      </c>
      <c r="I194" s="106"/>
      <c r="J194" s="523">
        <f>H194*0.05</f>
        <v>7539.9599999999991</v>
      </c>
      <c r="K194" s="224">
        <f t="shared" si="54"/>
        <v>158339.15999999997</v>
      </c>
      <c r="L194" s="511">
        <v>1</v>
      </c>
      <c r="M194" s="515" t="s">
        <v>918</v>
      </c>
      <c r="N194" s="516">
        <v>2.2799999999999998</v>
      </c>
      <c r="O194" s="512">
        <f t="shared" si="66"/>
        <v>150799.19999999998</v>
      </c>
      <c r="P194" s="512"/>
      <c r="Q194" s="522">
        <f>O194*0.05</f>
        <v>7539.9599999999991</v>
      </c>
      <c r="R194" s="512">
        <f t="shared" si="67"/>
        <v>158339.15999999997</v>
      </c>
      <c r="S194" s="224">
        <f t="shared" si="58"/>
        <v>0</v>
      </c>
      <c r="T194" s="224">
        <f t="shared" si="50"/>
        <v>0</v>
      </c>
      <c r="U194" s="224">
        <f t="shared" si="50"/>
        <v>0</v>
      </c>
      <c r="V194" s="224">
        <f t="shared" si="50"/>
        <v>0</v>
      </c>
      <c r="W194" s="224">
        <f t="shared" si="63"/>
        <v>0</v>
      </c>
      <c r="X194" s="511">
        <v>1</v>
      </c>
      <c r="Y194" s="501" t="s">
        <v>920</v>
      </c>
      <c r="Z194" s="506">
        <v>2.2799999999999998</v>
      </c>
      <c r="AA194" s="500">
        <f t="shared" si="52"/>
        <v>150799.19999999998</v>
      </c>
      <c r="AB194" s="106"/>
      <c r="AC194" s="523">
        <f>AA194*0.05</f>
        <v>7539.9599999999991</v>
      </c>
      <c r="AD194" s="224">
        <f t="shared" si="59"/>
        <v>158339.15999999997</v>
      </c>
      <c r="AE194" s="511">
        <v>1</v>
      </c>
      <c r="AF194" s="501" t="s">
        <v>1073</v>
      </c>
      <c r="AG194" s="506">
        <v>2.2799999999999998</v>
      </c>
      <c r="AH194" s="500">
        <f t="shared" si="53"/>
        <v>150799.19999999998</v>
      </c>
      <c r="AI194" s="106"/>
      <c r="AJ194" s="523">
        <f>AH194*0.05</f>
        <v>7539.9599999999991</v>
      </c>
      <c r="AK194" s="224">
        <f t="shared" si="60"/>
        <v>158339.15999999997</v>
      </c>
    </row>
    <row r="195" spans="1:37" ht="25.5" x14ac:dyDescent="0.25">
      <c r="A195" s="494">
        <v>127</v>
      </c>
      <c r="B195" s="522" t="s">
        <v>921</v>
      </c>
      <c r="C195" s="517" t="s">
        <v>491</v>
      </c>
      <c r="D195" s="515" t="s">
        <v>922</v>
      </c>
      <c r="E195" s="511">
        <v>1</v>
      </c>
      <c r="F195" s="501" t="s">
        <v>852</v>
      </c>
      <c r="G195" s="506">
        <v>1.9</v>
      </c>
      <c r="H195" s="500">
        <f t="shared" si="51"/>
        <v>125666</v>
      </c>
      <c r="I195" s="106"/>
      <c r="J195" s="523"/>
      <c r="K195" s="224">
        <f t="shared" si="54"/>
        <v>125666</v>
      </c>
      <c r="L195" s="511">
        <v>1</v>
      </c>
      <c r="M195" s="515" t="s">
        <v>851</v>
      </c>
      <c r="N195" s="516">
        <v>1.84</v>
      </c>
      <c r="O195" s="512">
        <f t="shared" si="66"/>
        <v>121697.60000000001</v>
      </c>
      <c r="P195" s="512"/>
      <c r="Q195" s="522"/>
      <c r="R195" s="512">
        <f t="shared" si="67"/>
        <v>121697.60000000001</v>
      </c>
      <c r="S195" s="224">
        <f t="shared" si="58"/>
        <v>0</v>
      </c>
      <c r="T195" s="224">
        <f t="shared" si="50"/>
        <v>3968.3999999999942</v>
      </c>
      <c r="U195" s="224">
        <f t="shared" si="50"/>
        <v>0</v>
      </c>
      <c r="V195" s="224">
        <f t="shared" si="50"/>
        <v>0</v>
      </c>
      <c r="W195" s="224">
        <f t="shared" si="63"/>
        <v>3968.3999999999942</v>
      </c>
      <c r="X195" s="511">
        <v>1</v>
      </c>
      <c r="Y195" s="501" t="s">
        <v>853</v>
      </c>
      <c r="Z195" s="506">
        <v>1.9</v>
      </c>
      <c r="AA195" s="500">
        <f t="shared" si="52"/>
        <v>125666</v>
      </c>
      <c r="AB195" s="106"/>
      <c r="AC195" s="523"/>
      <c r="AD195" s="224">
        <f t="shared" si="59"/>
        <v>125666</v>
      </c>
      <c r="AE195" s="511">
        <v>1</v>
      </c>
      <c r="AF195" s="501" t="s">
        <v>1062</v>
      </c>
      <c r="AG195" s="506">
        <v>1.96</v>
      </c>
      <c r="AH195" s="500">
        <f t="shared" si="53"/>
        <v>129634.4</v>
      </c>
      <c r="AI195" s="106"/>
      <c r="AJ195" s="523"/>
      <c r="AK195" s="224">
        <f t="shared" si="60"/>
        <v>129634.4</v>
      </c>
    </row>
    <row r="196" spans="1:37" ht="25.5" x14ac:dyDescent="0.25">
      <c r="A196" s="494">
        <v>128</v>
      </c>
      <c r="B196" s="498" t="s">
        <v>923</v>
      </c>
      <c r="C196" s="498" t="s">
        <v>491</v>
      </c>
      <c r="D196" s="501" t="s">
        <v>924</v>
      </c>
      <c r="E196" s="511">
        <v>1</v>
      </c>
      <c r="F196" s="501" t="s">
        <v>852</v>
      </c>
      <c r="G196" s="506">
        <v>1.9</v>
      </c>
      <c r="H196" s="500">
        <f t="shared" si="51"/>
        <v>125666</v>
      </c>
      <c r="I196" s="106"/>
      <c r="J196" s="523"/>
      <c r="K196" s="224">
        <f t="shared" si="54"/>
        <v>125666</v>
      </c>
      <c r="L196" s="511">
        <v>1</v>
      </c>
      <c r="M196" s="501" t="s">
        <v>851</v>
      </c>
      <c r="N196" s="506">
        <v>1.84</v>
      </c>
      <c r="O196" s="512">
        <f t="shared" si="66"/>
        <v>121697.60000000001</v>
      </c>
      <c r="P196" s="512"/>
      <c r="Q196" s="523"/>
      <c r="R196" s="512">
        <f t="shared" si="67"/>
        <v>121697.60000000001</v>
      </c>
      <c r="S196" s="224">
        <f t="shared" si="58"/>
        <v>0</v>
      </c>
      <c r="T196" s="224">
        <f t="shared" si="50"/>
        <v>3968.3999999999942</v>
      </c>
      <c r="U196" s="224">
        <f t="shared" si="50"/>
        <v>0</v>
      </c>
      <c r="V196" s="224">
        <f t="shared" si="50"/>
        <v>0</v>
      </c>
      <c r="W196" s="224">
        <f t="shared" si="63"/>
        <v>3968.3999999999942</v>
      </c>
      <c r="X196" s="511">
        <v>1</v>
      </c>
      <c r="Y196" s="501" t="s">
        <v>853</v>
      </c>
      <c r="Z196" s="506">
        <v>1.9</v>
      </c>
      <c r="AA196" s="500">
        <f t="shared" si="52"/>
        <v>125666</v>
      </c>
      <c r="AB196" s="106"/>
      <c r="AC196" s="523"/>
      <c r="AD196" s="224">
        <f t="shared" si="59"/>
        <v>125666</v>
      </c>
      <c r="AE196" s="511">
        <v>1</v>
      </c>
      <c r="AF196" s="501" t="s">
        <v>1062</v>
      </c>
      <c r="AG196" s="506">
        <v>1.96</v>
      </c>
      <c r="AH196" s="500">
        <f t="shared" si="53"/>
        <v>129634.4</v>
      </c>
      <c r="AI196" s="106"/>
      <c r="AJ196" s="523"/>
      <c r="AK196" s="224">
        <f t="shared" si="60"/>
        <v>129634.4</v>
      </c>
    </row>
    <row r="197" spans="1:37" ht="51" x14ac:dyDescent="0.25">
      <c r="A197" s="494">
        <v>129</v>
      </c>
      <c r="B197" s="517" t="s">
        <v>925</v>
      </c>
      <c r="C197" s="517" t="s">
        <v>491</v>
      </c>
      <c r="D197" s="515" t="s">
        <v>926</v>
      </c>
      <c r="E197" s="511">
        <v>1</v>
      </c>
      <c r="F197" s="501" t="s">
        <v>852</v>
      </c>
      <c r="G197" s="506">
        <v>1.9</v>
      </c>
      <c r="H197" s="500">
        <f t="shared" si="51"/>
        <v>125666</v>
      </c>
      <c r="I197" s="106"/>
      <c r="J197" s="523"/>
      <c r="K197" s="224">
        <f t="shared" si="54"/>
        <v>125666</v>
      </c>
      <c r="L197" s="511">
        <v>1</v>
      </c>
      <c r="M197" s="515" t="s">
        <v>927</v>
      </c>
      <c r="N197" s="516">
        <v>1.84</v>
      </c>
      <c r="O197" s="512">
        <f t="shared" si="66"/>
        <v>121697.60000000001</v>
      </c>
      <c r="P197" s="512"/>
      <c r="Q197" s="522"/>
      <c r="R197" s="512">
        <f t="shared" si="67"/>
        <v>121697.60000000001</v>
      </c>
      <c r="S197" s="224">
        <f t="shared" si="58"/>
        <v>0</v>
      </c>
      <c r="T197" s="224">
        <f t="shared" si="50"/>
        <v>3968.3999999999942</v>
      </c>
      <c r="U197" s="224">
        <f t="shared" si="50"/>
        <v>0</v>
      </c>
      <c r="V197" s="224">
        <f t="shared" si="50"/>
        <v>0</v>
      </c>
      <c r="W197" s="224">
        <f t="shared" si="63"/>
        <v>3968.3999999999942</v>
      </c>
      <c r="X197" s="511">
        <v>1</v>
      </c>
      <c r="Y197" s="501" t="s">
        <v>853</v>
      </c>
      <c r="Z197" s="506">
        <v>1.9</v>
      </c>
      <c r="AA197" s="500">
        <f t="shared" si="52"/>
        <v>125666</v>
      </c>
      <c r="AB197" s="106"/>
      <c r="AC197" s="523"/>
      <c r="AD197" s="224">
        <f t="shared" si="59"/>
        <v>125666</v>
      </c>
      <c r="AE197" s="511">
        <v>1</v>
      </c>
      <c r="AF197" s="501" t="s">
        <v>1062</v>
      </c>
      <c r="AG197" s="506">
        <v>1.96</v>
      </c>
      <c r="AH197" s="500">
        <f t="shared" si="53"/>
        <v>129634.4</v>
      </c>
      <c r="AI197" s="106"/>
      <c r="AJ197" s="523"/>
      <c r="AK197" s="224">
        <f t="shared" si="60"/>
        <v>129634.4</v>
      </c>
    </row>
    <row r="198" spans="1:37" x14ac:dyDescent="0.25">
      <c r="A198" s="494">
        <v>130</v>
      </c>
      <c r="B198" s="498" t="s">
        <v>482</v>
      </c>
      <c r="C198" s="498" t="s">
        <v>491</v>
      </c>
      <c r="D198" s="501" t="s">
        <v>928</v>
      </c>
      <c r="E198" s="511">
        <v>1</v>
      </c>
      <c r="F198" s="501"/>
      <c r="G198" s="506">
        <v>1.96</v>
      </c>
      <c r="H198" s="500">
        <f t="shared" si="51"/>
        <v>129634.4</v>
      </c>
      <c r="I198" s="106"/>
      <c r="J198" s="523"/>
      <c r="K198" s="224">
        <f t="shared" si="54"/>
        <v>129634.4</v>
      </c>
      <c r="L198" s="511">
        <v>1</v>
      </c>
      <c r="M198" s="501"/>
      <c r="N198" s="506">
        <v>1.96</v>
      </c>
      <c r="O198" s="512">
        <f t="shared" si="66"/>
        <v>129634.4</v>
      </c>
      <c r="P198" s="512"/>
      <c r="Q198" s="523"/>
      <c r="R198" s="512">
        <f t="shared" si="67"/>
        <v>129634.4</v>
      </c>
      <c r="S198" s="224">
        <f t="shared" si="58"/>
        <v>0</v>
      </c>
      <c r="T198" s="224">
        <f t="shared" si="50"/>
        <v>0</v>
      </c>
      <c r="U198" s="224">
        <f t="shared" si="50"/>
        <v>0</v>
      </c>
      <c r="V198" s="224">
        <f t="shared" si="50"/>
        <v>0</v>
      </c>
      <c r="W198" s="224">
        <f t="shared" si="63"/>
        <v>0</v>
      </c>
      <c r="X198" s="511">
        <v>1</v>
      </c>
      <c r="Y198" s="501"/>
      <c r="Z198" s="506">
        <v>1.96</v>
      </c>
      <c r="AA198" s="500">
        <f t="shared" si="52"/>
        <v>129634.4</v>
      </c>
      <c r="AB198" s="106"/>
      <c r="AC198" s="523"/>
      <c r="AD198" s="224">
        <f t="shared" si="59"/>
        <v>129634.4</v>
      </c>
      <c r="AE198" s="511">
        <v>1</v>
      </c>
      <c r="AF198" s="501"/>
      <c r="AG198" s="506">
        <v>1.96</v>
      </c>
      <c r="AH198" s="500">
        <f t="shared" si="53"/>
        <v>129634.4</v>
      </c>
      <c r="AI198" s="106"/>
      <c r="AJ198" s="523"/>
      <c r="AK198" s="224">
        <f t="shared" si="60"/>
        <v>129634.4</v>
      </c>
    </row>
    <row r="199" spans="1:37" ht="25.5" x14ac:dyDescent="0.25">
      <c r="A199" s="494">
        <v>131</v>
      </c>
      <c r="B199" s="498" t="s">
        <v>929</v>
      </c>
      <c r="C199" s="498" t="s">
        <v>491</v>
      </c>
      <c r="D199" s="501" t="s">
        <v>930</v>
      </c>
      <c r="E199" s="511">
        <v>1</v>
      </c>
      <c r="F199" s="501" t="s">
        <v>852</v>
      </c>
      <c r="G199" s="506">
        <v>1.9</v>
      </c>
      <c r="H199" s="500">
        <f t="shared" si="51"/>
        <v>125666</v>
      </c>
      <c r="I199" s="106"/>
      <c r="J199" s="523"/>
      <c r="K199" s="224">
        <f t="shared" si="54"/>
        <v>125666</v>
      </c>
      <c r="L199" s="511">
        <v>1</v>
      </c>
      <c r="M199" s="501" t="s">
        <v>851</v>
      </c>
      <c r="N199" s="506">
        <v>1.84</v>
      </c>
      <c r="O199" s="512">
        <f t="shared" si="66"/>
        <v>121697.60000000001</v>
      </c>
      <c r="P199" s="512"/>
      <c r="Q199" s="523"/>
      <c r="R199" s="512">
        <f t="shared" si="67"/>
        <v>121697.60000000001</v>
      </c>
      <c r="S199" s="224">
        <f t="shared" si="58"/>
        <v>0</v>
      </c>
      <c r="T199" s="224">
        <f t="shared" ref="T199:V218" si="68">H199-O199</f>
        <v>3968.3999999999942</v>
      </c>
      <c r="U199" s="224">
        <f t="shared" si="68"/>
        <v>0</v>
      </c>
      <c r="V199" s="224">
        <f t="shared" si="68"/>
        <v>0</v>
      </c>
      <c r="W199" s="224">
        <f t="shared" si="63"/>
        <v>3968.3999999999942</v>
      </c>
      <c r="X199" s="511">
        <v>1</v>
      </c>
      <c r="Y199" s="501" t="s">
        <v>853</v>
      </c>
      <c r="Z199" s="506">
        <v>1.9</v>
      </c>
      <c r="AA199" s="500">
        <f t="shared" si="52"/>
        <v>125666</v>
      </c>
      <c r="AB199" s="106"/>
      <c r="AC199" s="523"/>
      <c r="AD199" s="224">
        <f t="shared" si="59"/>
        <v>125666</v>
      </c>
      <c r="AE199" s="511">
        <v>1</v>
      </c>
      <c r="AF199" s="501" t="s">
        <v>1062</v>
      </c>
      <c r="AG199" s="506">
        <v>1.96</v>
      </c>
      <c r="AH199" s="500">
        <f t="shared" si="53"/>
        <v>129634.4</v>
      </c>
      <c r="AI199" s="106"/>
      <c r="AJ199" s="523"/>
      <c r="AK199" s="224">
        <f t="shared" si="60"/>
        <v>129634.4</v>
      </c>
    </row>
    <row r="200" spans="1:37" x14ac:dyDescent="0.25">
      <c r="A200" s="494"/>
      <c r="B200" s="518" t="s">
        <v>169</v>
      </c>
      <c r="C200" s="519" t="s">
        <v>1</v>
      </c>
      <c r="D200" s="519" t="s">
        <v>1</v>
      </c>
      <c r="E200" s="520">
        <f>SUM(E191:E199)</f>
        <v>9</v>
      </c>
      <c r="F200" s="519" t="s">
        <v>1</v>
      </c>
      <c r="G200" s="519" t="s">
        <v>1</v>
      </c>
      <c r="H200" s="520">
        <f>SUM(H191:H199)</f>
        <v>1400183.7999999998</v>
      </c>
      <c r="I200" s="520">
        <f>SUM(I191:I199)</f>
        <v>0</v>
      </c>
      <c r="J200" s="520">
        <f>SUM(J191:J199)</f>
        <v>30854.31</v>
      </c>
      <c r="K200" s="520">
        <f>SUM(K191:K199)</f>
        <v>1431038.1099999999</v>
      </c>
      <c r="L200" s="520">
        <f>SUM(L191:L199)</f>
        <v>9</v>
      </c>
      <c r="M200" s="519" t="s">
        <v>1</v>
      </c>
      <c r="N200" s="519" t="s">
        <v>1</v>
      </c>
      <c r="O200" s="520">
        <f t="shared" ref="O200:X200" si="69">SUM(O191:O199)</f>
        <v>1338673.5999999999</v>
      </c>
      <c r="P200" s="520">
        <f t="shared" si="69"/>
        <v>0</v>
      </c>
      <c r="Q200" s="520">
        <f t="shared" si="69"/>
        <v>30556.68</v>
      </c>
      <c r="R200" s="520">
        <f>R191+R192+R193+R194+R195+R196+R197+R198+R199</f>
        <v>1369230.28</v>
      </c>
      <c r="S200" s="520">
        <f t="shared" si="69"/>
        <v>0</v>
      </c>
      <c r="T200" s="520">
        <f t="shared" si="69"/>
        <v>61510.199999999939</v>
      </c>
      <c r="U200" s="520">
        <f t="shared" si="69"/>
        <v>0</v>
      </c>
      <c r="V200" s="520">
        <f t="shared" si="69"/>
        <v>297.6299999999992</v>
      </c>
      <c r="W200" s="520">
        <f t="shared" si="69"/>
        <v>61807.829999999936</v>
      </c>
      <c r="X200" s="520">
        <f t="shared" si="69"/>
        <v>9</v>
      </c>
      <c r="Y200" s="519" t="s">
        <v>1</v>
      </c>
      <c r="Z200" s="519" t="s">
        <v>1</v>
      </c>
      <c r="AA200" s="520">
        <f>SUM(AA191:AA199)</f>
        <v>1360499.7999999998</v>
      </c>
      <c r="AB200" s="520">
        <f>SUM(AB191:AB199)</f>
        <v>0</v>
      </c>
      <c r="AC200" s="520">
        <f>SUM(AC191:AC199)</f>
        <v>17196.400000000001</v>
      </c>
      <c r="AD200" s="520">
        <f>SUM(AD191:AD199)</f>
        <v>1377696.2</v>
      </c>
      <c r="AE200" s="520">
        <f>SUM(AE191:AE199)</f>
        <v>9</v>
      </c>
      <c r="AF200" s="519" t="s">
        <v>1</v>
      </c>
      <c r="AG200" s="519" t="s">
        <v>1</v>
      </c>
      <c r="AH200" s="520">
        <f>SUM(AH191:AH199)</f>
        <v>1411427.5999999999</v>
      </c>
      <c r="AI200" s="520">
        <f>SUM(AI191:AI199)</f>
        <v>0</v>
      </c>
      <c r="AJ200" s="520">
        <f>SUM(AJ191:AJ199)</f>
        <v>24504.87</v>
      </c>
      <c r="AK200" s="520">
        <f>SUM(AK191:AK199)</f>
        <v>1435932.4699999997</v>
      </c>
    </row>
    <row r="201" spans="1:37" ht="25.5" x14ac:dyDescent="0.25">
      <c r="A201" s="494"/>
      <c r="B201" s="518" t="s">
        <v>931</v>
      </c>
      <c r="C201" s="519" t="s">
        <v>1</v>
      </c>
      <c r="D201" s="519" t="s">
        <v>1</v>
      </c>
      <c r="E201" s="527">
        <f>SUM(E200+E189+E180+E168+E153+E149+E143+E137+E132+E124+E118+E114+E110+E99+E88+E79+E66+E57+E44+E32)</f>
        <v>120</v>
      </c>
      <c r="F201" s="519" t="s">
        <v>1</v>
      </c>
      <c r="G201" s="519" t="s">
        <v>1</v>
      </c>
      <c r="H201" s="527">
        <f>H32+H44+H57+H66+H79+H88+H99+H110+H114+H118+H124+H132+H137+H143+H149+H153+H168+H180+H189+H200</f>
        <v>25958627.199999996</v>
      </c>
      <c r="I201" s="527">
        <f>I32+I44+I57+I66+I79+I88+I99+I110+I114+I118+I124+I132+I137+I143+I149+I153+I168+I180+I189+I200</f>
        <v>0</v>
      </c>
      <c r="J201" s="527">
        <f>J32+J44+J57+J66+J79+J88+J99+J110+J114+J118+J124+J132+J137+J143+J149+J153+J168+J180+J189+J200</f>
        <v>824402.49</v>
      </c>
      <c r="K201" s="527">
        <f>K32+K44+K57+K66+K79+K88+K99+K110+K114+K118+K124+K132+K137+K143+K149+K153+K168+K180+K189+K200</f>
        <v>26783029.689999998</v>
      </c>
      <c r="L201" s="527">
        <f>L32+L44+L57+L66+L79+L88+L99+L110+L114+L118+L124+L132+L137+L143+L149+L153+L168+L180+L189+L200</f>
        <v>120</v>
      </c>
      <c r="M201" s="519" t="s">
        <v>1</v>
      </c>
      <c r="N201" s="519" t="s">
        <v>1</v>
      </c>
      <c r="O201" s="527">
        <f>O32+O44+O57+O66+O79+O88+O99+O110+O114+O118+O124+O132+O137+O143+O149+O153+O168+O180+O189+O200</f>
        <v>25448026.400000002</v>
      </c>
      <c r="P201" s="527">
        <f>P32+P44+P57+P66+P79+P88+P99+P110+P114+P118+P124+P132+P137+P143+P149+P153+P168+P180+P189+P200</f>
        <v>0</v>
      </c>
      <c r="Q201" s="527">
        <f>Q32+Q44+Q57+Q66+Q79+Q88+Q99+Q110+Q114+Q118+Q124+Q132+Q137+Q143+Q149+Q153+Q168+Q180+Q189+Q200</f>
        <v>811240.31000000029</v>
      </c>
      <c r="R201" s="527">
        <f>R32+R44+R57+R66+R79+R88+R99+R110+R114+R118+R124+R132+R137+R143+R149+R153+R168+R180+R189+R200</f>
        <v>26259266.710000005</v>
      </c>
      <c r="S201" s="224">
        <f t="shared" si="58"/>
        <v>0</v>
      </c>
      <c r="T201" s="224">
        <f t="shared" si="68"/>
        <v>510600.79999999329</v>
      </c>
      <c r="U201" s="224">
        <f t="shared" si="68"/>
        <v>0</v>
      </c>
      <c r="V201" s="224">
        <f t="shared" si="68"/>
        <v>13162.179999999702</v>
      </c>
      <c r="W201" s="224">
        <f t="shared" si="63"/>
        <v>523762.979999993</v>
      </c>
      <c r="X201" s="527">
        <f>SUM(X200+X189+X180+X168+X153+X149+X143+X137+X132+X124+X118+X114+X110+X99+X88+X79+X66+X57+X44+X32)</f>
        <v>119</v>
      </c>
      <c r="Y201" s="519" t="s">
        <v>1</v>
      </c>
      <c r="Z201" s="519" t="s">
        <v>1</v>
      </c>
      <c r="AA201" s="527">
        <f>AA32+AA44+AA57+AA66+AA79+AA88+AA99+AA110+AA114+AA118+AA124+AA132+AA137+AA143+AA149+AA153+AA168+AA180+AA189+AA200</f>
        <v>26132575.400000006</v>
      </c>
      <c r="AB201" s="527">
        <f>AB32+AB44+AB57+AB66+AB79+AB88+AB99+AB110+AB114+AB118+AB124+AB132+AB137+AB143+AB149+AB153+AB168+AB180+AB189+AB200</f>
        <v>0</v>
      </c>
      <c r="AC201" s="527">
        <f>AC32+AC44+AC57+AC66+AC79+AC88+AC99+AC110+AC114+AC118+AC124+AC132+AC137+AC143+AC149+AC153+AC168+AC180+AC189+AC200</f>
        <v>875197.23</v>
      </c>
      <c r="AD201" s="527">
        <f>AA201+AC201</f>
        <v>27007772.630000006</v>
      </c>
      <c r="AE201" s="527">
        <f>SUM(AE200+AE189+AE180+AE168+AE153+AE149+AE143+AE137+AE132+AE124+AE118+AE114+AE110+AE99+AE88+AE79+AE66+AE57+AE44+AE32)</f>
        <v>118</v>
      </c>
      <c r="AF201" s="519" t="s">
        <v>1</v>
      </c>
      <c r="AG201" s="519" t="s">
        <v>1</v>
      </c>
      <c r="AH201" s="527">
        <f>AH32+AH44+AH57+AH66+AH79+AH88+AH99+AH110+AH114+AH118+AH124+AH132+AH137+AH143+AH149+AH153+AH168+AH180+AH189+AH200</f>
        <v>26353483</v>
      </c>
      <c r="AI201" s="527">
        <f>AI32+AI44+AI57+AI66+AI79+AI88+AI99+AI110+AI114+AI118+AI124+AI132+AI137+AI143+AI149+AI153+AI168+AI180+AI189+AI200</f>
        <v>0</v>
      </c>
      <c r="AJ201" s="527">
        <f>AJ32+AJ44+AJ57+AJ66+AJ79+AJ88+AJ99+AJ110+AJ114+AJ118+AJ124+AJ132+AJ137+AJ143+AJ149+AJ153+AJ168+AJ180+AJ189+AJ200</f>
        <v>883597.01000000013</v>
      </c>
      <c r="AK201" s="527">
        <f>AH201+AJ201</f>
        <v>27237080.010000002</v>
      </c>
    </row>
    <row r="202" spans="1:37" ht="13.5" customHeight="1" x14ac:dyDescent="0.25">
      <c r="A202" s="494" t="s">
        <v>5</v>
      </c>
      <c r="B202" s="601" t="s">
        <v>94</v>
      </c>
      <c r="C202" s="601"/>
      <c r="D202" s="601"/>
      <c r="E202" s="528"/>
      <c r="F202" s="496"/>
      <c r="G202" s="496"/>
      <c r="H202" s="500">
        <f t="shared" si="51"/>
        <v>0</v>
      </c>
      <c r="I202" s="106"/>
      <c r="J202" s="528"/>
      <c r="K202" s="224">
        <f t="shared" si="54"/>
        <v>0</v>
      </c>
      <c r="L202" s="528"/>
      <c r="M202" s="496"/>
      <c r="N202" s="496"/>
      <c r="O202" s="528"/>
      <c r="P202" s="528"/>
      <c r="Q202" s="528"/>
      <c r="R202" s="528"/>
      <c r="S202" s="224">
        <f t="shared" si="58"/>
        <v>0</v>
      </c>
      <c r="T202" s="224">
        <f t="shared" si="68"/>
        <v>0</v>
      </c>
      <c r="U202" s="224">
        <f t="shared" si="68"/>
        <v>0</v>
      </c>
      <c r="V202" s="224">
        <f t="shared" si="68"/>
        <v>0</v>
      </c>
      <c r="W202" s="224">
        <f t="shared" si="63"/>
        <v>0</v>
      </c>
      <c r="X202" s="528"/>
      <c r="Y202" s="496"/>
      <c r="Z202" s="496"/>
      <c r="AA202" s="500">
        <f t="shared" si="52"/>
        <v>0</v>
      </c>
      <c r="AB202" s="106"/>
      <c r="AC202" s="528"/>
      <c r="AD202" s="224">
        <f t="shared" si="59"/>
        <v>0</v>
      </c>
      <c r="AE202" s="528"/>
      <c r="AF202" s="496"/>
      <c r="AG202" s="496"/>
      <c r="AH202" s="500">
        <f t="shared" si="53"/>
        <v>0</v>
      </c>
      <c r="AI202" s="106"/>
      <c r="AJ202" s="528"/>
      <c r="AK202" s="224">
        <f t="shared" si="60"/>
        <v>0</v>
      </c>
    </row>
    <row r="203" spans="1:37" x14ac:dyDescent="0.25">
      <c r="A203" s="494"/>
      <c r="B203" s="495" t="s">
        <v>145</v>
      </c>
      <c r="C203" s="496"/>
      <c r="D203" s="496"/>
      <c r="E203" s="512"/>
      <c r="F203" s="496"/>
      <c r="G203" s="496"/>
      <c r="H203" s="500">
        <f t="shared" si="51"/>
        <v>0</v>
      </c>
      <c r="I203" s="106"/>
      <c r="J203" s="512"/>
      <c r="K203" s="224">
        <f t="shared" si="54"/>
        <v>0</v>
      </c>
      <c r="L203" s="512"/>
      <c r="M203" s="496"/>
      <c r="N203" s="496"/>
      <c r="O203" s="512"/>
      <c r="P203" s="512"/>
      <c r="Q203" s="512"/>
      <c r="R203" s="512"/>
      <c r="S203" s="224">
        <f t="shared" si="58"/>
        <v>0</v>
      </c>
      <c r="T203" s="224">
        <f t="shared" si="68"/>
        <v>0</v>
      </c>
      <c r="U203" s="224">
        <f t="shared" si="68"/>
        <v>0</v>
      </c>
      <c r="V203" s="224">
        <f t="shared" si="68"/>
        <v>0</v>
      </c>
      <c r="W203" s="224">
        <f t="shared" si="63"/>
        <v>0</v>
      </c>
      <c r="X203" s="512"/>
      <c r="Y203" s="496"/>
      <c r="Z203" s="496"/>
      <c r="AA203" s="500">
        <f t="shared" si="52"/>
        <v>0</v>
      </c>
      <c r="AB203" s="106"/>
      <c r="AC203" s="512"/>
      <c r="AD203" s="224">
        <f t="shared" si="59"/>
        <v>0</v>
      </c>
      <c r="AE203" s="512"/>
      <c r="AF203" s="496"/>
      <c r="AG203" s="496"/>
      <c r="AH203" s="500">
        <f t="shared" si="53"/>
        <v>0</v>
      </c>
      <c r="AI203" s="106"/>
      <c r="AJ203" s="512"/>
      <c r="AK203" s="224">
        <f t="shared" si="60"/>
        <v>0</v>
      </c>
    </row>
    <row r="204" spans="1:37" x14ac:dyDescent="0.25">
      <c r="A204" s="529">
        <v>132</v>
      </c>
      <c r="B204" s="498" t="s">
        <v>932</v>
      </c>
      <c r="C204" s="498" t="s">
        <v>933</v>
      </c>
      <c r="D204" s="496"/>
      <c r="E204" s="497">
        <v>1</v>
      </c>
      <c r="F204" s="496" t="s">
        <v>934</v>
      </c>
      <c r="G204" s="495">
        <v>1.25</v>
      </c>
      <c r="H204" s="500">
        <v>82675</v>
      </c>
      <c r="I204" s="106"/>
      <c r="J204" s="523"/>
      <c r="K204" s="224">
        <f t="shared" si="54"/>
        <v>82675</v>
      </c>
      <c r="L204" s="497">
        <v>1</v>
      </c>
      <c r="M204" s="496" t="s">
        <v>934</v>
      </c>
      <c r="N204" s="495">
        <v>1.25</v>
      </c>
      <c r="O204" s="500">
        <v>82675</v>
      </c>
      <c r="P204" s="523"/>
      <c r="Q204" s="523"/>
      <c r="R204" s="497">
        <f>O204+P204+Q204</f>
        <v>82675</v>
      </c>
      <c r="S204" s="224">
        <f t="shared" si="58"/>
        <v>0</v>
      </c>
      <c r="T204" s="224">
        <f t="shared" si="68"/>
        <v>0</v>
      </c>
      <c r="U204" s="224">
        <f t="shared" si="68"/>
        <v>0</v>
      </c>
      <c r="V204" s="224">
        <f t="shared" si="68"/>
        <v>0</v>
      </c>
      <c r="W204" s="224">
        <f t="shared" si="63"/>
        <v>0</v>
      </c>
      <c r="X204" s="497">
        <v>1</v>
      </c>
      <c r="Y204" s="496" t="s">
        <v>934</v>
      </c>
      <c r="Z204" s="495">
        <v>1.25</v>
      </c>
      <c r="AA204" s="500">
        <v>82675</v>
      </c>
      <c r="AB204" s="106"/>
      <c r="AC204" s="523"/>
      <c r="AD204" s="224">
        <f t="shared" si="59"/>
        <v>82675</v>
      </c>
      <c r="AE204" s="497">
        <v>1</v>
      </c>
      <c r="AF204" s="496"/>
      <c r="AG204" s="495">
        <v>1.25</v>
      </c>
      <c r="AH204" s="500">
        <v>82675</v>
      </c>
      <c r="AI204" s="106"/>
      <c r="AJ204" s="523"/>
      <c r="AK204" s="224">
        <f t="shared" si="60"/>
        <v>82675</v>
      </c>
    </row>
    <row r="205" spans="1:37" ht="25.5" x14ac:dyDescent="0.25">
      <c r="A205" s="602">
        <v>133</v>
      </c>
      <c r="B205" s="501" t="s">
        <v>977</v>
      </c>
      <c r="C205" s="498" t="s">
        <v>933</v>
      </c>
      <c r="D205" s="496"/>
      <c r="E205" s="530">
        <v>0.5</v>
      </c>
      <c r="F205" s="495" t="s">
        <v>936</v>
      </c>
      <c r="G205" s="495">
        <v>1.25</v>
      </c>
      <c r="H205" s="500">
        <v>41338</v>
      </c>
      <c r="I205" s="106"/>
      <c r="J205" s="523"/>
      <c r="K205" s="224">
        <f t="shared" si="54"/>
        <v>41338</v>
      </c>
      <c r="L205" s="530">
        <v>0.5</v>
      </c>
      <c r="M205" s="501" t="s">
        <v>935</v>
      </c>
      <c r="N205" s="495">
        <v>1.25</v>
      </c>
      <c r="O205" s="500">
        <v>41338</v>
      </c>
      <c r="P205" s="523"/>
      <c r="Q205" s="523"/>
      <c r="R205" s="497">
        <f>O205+P205+Q205</f>
        <v>41338</v>
      </c>
      <c r="S205" s="224">
        <f t="shared" si="58"/>
        <v>0</v>
      </c>
      <c r="T205" s="224">
        <f t="shared" si="68"/>
        <v>0</v>
      </c>
      <c r="U205" s="224">
        <f t="shared" si="68"/>
        <v>0</v>
      </c>
      <c r="V205" s="224">
        <f t="shared" si="68"/>
        <v>0</v>
      </c>
      <c r="W205" s="224">
        <f t="shared" si="63"/>
        <v>0</v>
      </c>
      <c r="X205" s="530">
        <v>0.5</v>
      </c>
      <c r="Y205" s="495" t="s">
        <v>936</v>
      </c>
      <c r="Z205" s="495">
        <v>1.25</v>
      </c>
      <c r="AA205" s="500">
        <v>41338</v>
      </c>
      <c r="AB205" s="106"/>
      <c r="AC205" s="523"/>
      <c r="AD205" s="224">
        <f t="shared" si="59"/>
        <v>41338</v>
      </c>
      <c r="AE205" s="530">
        <v>0.5</v>
      </c>
      <c r="AF205" s="495"/>
      <c r="AG205" s="495">
        <v>1.25</v>
      </c>
      <c r="AH205" s="500">
        <v>41338</v>
      </c>
      <c r="AI205" s="106"/>
      <c r="AJ205" s="523"/>
      <c r="AK205" s="224">
        <f t="shared" si="60"/>
        <v>41338</v>
      </c>
    </row>
    <row r="206" spans="1:37" x14ac:dyDescent="0.25">
      <c r="A206" s="602"/>
      <c r="B206" s="498" t="s">
        <v>937</v>
      </c>
      <c r="C206" s="498" t="s">
        <v>933</v>
      </c>
      <c r="D206" s="496"/>
      <c r="E206" s="530">
        <v>0.5</v>
      </c>
      <c r="F206" s="495" t="s">
        <v>938</v>
      </c>
      <c r="G206" s="495">
        <v>1.25</v>
      </c>
      <c r="H206" s="500">
        <v>41338</v>
      </c>
      <c r="I206" s="106"/>
      <c r="J206" s="523"/>
      <c r="K206" s="224">
        <f t="shared" si="54"/>
        <v>41338</v>
      </c>
      <c r="L206" s="530">
        <v>0.5</v>
      </c>
      <c r="M206" s="495" t="s">
        <v>938</v>
      </c>
      <c r="N206" s="495">
        <v>1.25</v>
      </c>
      <c r="O206" s="500">
        <v>41338</v>
      </c>
      <c r="P206" s="523"/>
      <c r="Q206" s="523"/>
      <c r="R206" s="497">
        <f>O206+P206+Q206</f>
        <v>41338</v>
      </c>
      <c r="S206" s="224">
        <f t="shared" si="58"/>
        <v>0</v>
      </c>
      <c r="T206" s="224">
        <f t="shared" si="68"/>
        <v>0</v>
      </c>
      <c r="U206" s="224">
        <f t="shared" si="68"/>
        <v>0</v>
      </c>
      <c r="V206" s="224">
        <f t="shared" si="68"/>
        <v>0</v>
      </c>
      <c r="W206" s="224">
        <f t="shared" si="63"/>
        <v>0</v>
      </c>
      <c r="X206" s="530">
        <v>0.5</v>
      </c>
      <c r="Y206" s="495" t="s">
        <v>938</v>
      </c>
      <c r="Z206" s="495">
        <v>1.25</v>
      </c>
      <c r="AA206" s="500">
        <v>41338</v>
      </c>
      <c r="AB206" s="106"/>
      <c r="AC206" s="523"/>
      <c r="AD206" s="224">
        <f t="shared" si="59"/>
        <v>41338</v>
      </c>
      <c r="AE206" s="530">
        <v>0.5</v>
      </c>
      <c r="AF206" s="495"/>
      <c r="AG206" s="495">
        <v>1.25</v>
      </c>
      <c r="AH206" s="500">
        <v>41338</v>
      </c>
      <c r="AI206" s="106"/>
      <c r="AJ206" s="523"/>
      <c r="AK206" s="224">
        <f t="shared" si="60"/>
        <v>41338</v>
      </c>
    </row>
    <row r="207" spans="1:37" x14ac:dyDescent="0.25">
      <c r="A207" s="529">
        <v>134</v>
      </c>
      <c r="B207" s="498" t="s">
        <v>975</v>
      </c>
      <c r="C207" s="498" t="s">
        <v>933</v>
      </c>
      <c r="D207" s="496"/>
      <c r="E207" s="497">
        <v>1</v>
      </c>
      <c r="F207" s="496" t="s">
        <v>940</v>
      </c>
      <c r="G207" s="533">
        <v>1.25</v>
      </c>
      <c r="H207" s="500">
        <v>82675</v>
      </c>
      <c r="I207" s="106"/>
      <c r="J207" s="530"/>
      <c r="K207" s="224">
        <f t="shared" si="54"/>
        <v>82675</v>
      </c>
      <c r="L207" s="497">
        <v>1</v>
      </c>
      <c r="M207" s="496" t="s">
        <v>940</v>
      </c>
      <c r="N207" s="533">
        <v>1.25</v>
      </c>
      <c r="O207" s="500">
        <v>82675</v>
      </c>
      <c r="P207" s="530"/>
      <c r="Q207" s="530"/>
      <c r="R207" s="497">
        <f>O207+P207+Q207</f>
        <v>82675</v>
      </c>
      <c r="S207" s="224">
        <f t="shared" si="58"/>
        <v>0</v>
      </c>
      <c r="T207" s="224">
        <f t="shared" si="68"/>
        <v>0</v>
      </c>
      <c r="U207" s="224">
        <f t="shared" si="68"/>
        <v>0</v>
      </c>
      <c r="V207" s="224">
        <f t="shared" si="68"/>
        <v>0</v>
      </c>
      <c r="W207" s="224">
        <f t="shared" si="63"/>
        <v>0</v>
      </c>
      <c r="X207" s="497">
        <v>1</v>
      </c>
      <c r="Y207" s="496" t="s">
        <v>940</v>
      </c>
      <c r="Z207" s="533">
        <v>1.25</v>
      </c>
      <c r="AA207" s="500">
        <v>82675</v>
      </c>
      <c r="AB207" s="106"/>
      <c r="AC207" s="530"/>
      <c r="AD207" s="224">
        <f t="shared" si="59"/>
        <v>82675</v>
      </c>
      <c r="AE207" s="497">
        <v>1</v>
      </c>
      <c r="AF207" s="496"/>
      <c r="AG207" s="495">
        <v>1.25</v>
      </c>
      <c r="AH207" s="500">
        <v>82675</v>
      </c>
      <c r="AI207" s="106"/>
      <c r="AJ207" s="530"/>
      <c r="AK207" s="224">
        <f t="shared" si="60"/>
        <v>82675</v>
      </c>
    </row>
    <row r="208" spans="1:37" x14ac:dyDescent="0.25">
      <c r="A208" s="600">
        <v>135</v>
      </c>
      <c r="B208" s="498" t="s">
        <v>976</v>
      </c>
      <c r="C208" s="498" t="s">
        <v>939</v>
      </c>
      <c r="D208" s="496"/>
      <c r="E208" s="530">
        <v>1</v>
      </c>
      <c r="F208" s="496" t="s">
        <v>942</v>
      </c>
      <c r="G208" s="496">
        <v>1.6</v>
      </c>
      <c r="H208" s="500">
        <v>105825</v>
      </c>
      <c r="I208" s="106"/>
      <c r="J208" s="530"/>
      <c r="K208" s="224">
        <f t="shared" si="54"/>
        <v>105825</v>
      </c>
      <c r="L208" s="530">
        <v>1</v>
      </c>
      <c r="M208" s="496" t="s">
        <v>941</v>
      </c>
      <c r="N208" s="496">
        <v>1.6</v>
      </c>
      <c r="O208" s="500">
        <v>105825</v>
      </c>
      <c r="P208" s="530"/>
      <c r="Q208" s="530"/>
      <c r="R208" s="497">
        <f>O208+P208+Q208</f>
        <v>105825</v>
      </c>
      <c r="S208" s="224">
        <f t="shared" si="58"/>
        <v>0</v>
      </c>
      <c r="T208" s="224">
        <f t="shared" si="68"/>
        <v>0</v>
      </c>
      <c r="U208" s="224">
        <f t="shared" si="68"/>
        <v>0</v>
      </c>
      <c r="V208" s="224">
        <f t="shared" si="68"/>
        <v>0</v>
      </c>
      <c r="W208" s="224">
        <f t="shared" si="63"/>
        <v>0</v>
      </c>
      <c r="X208" s="530">
        <v>0.5</v>
      </c>
      <c r="Y208" s="496" t="s">
        <v>942</v>
      </c>
      <c r="Z208" s="496">
        <v>1.6</v>
      </c>
      <c r="AA208" s="500">
        <v>105825</v>
      </c>
      <c r="AB208" s="106"/>
      <c r="AC208" s="530"/>
      <c r="AD208" s="224">
        <f t="shared" si="59"/>
        <v>105825</v>
      </c>
      <c r="AE208" s="530">
        <v>0.5</v>
      </c>
      <c r="AF208" s="496"/>
      <c r="AG208" s="533">
        <v>1.25</v>
      </c>
      <c r="AH208" s="500">
        <v>105825</v>
      </c>
      <c r="AI208" s="106"/>
      <c r="AJ208" s="530"/>
      <c r="AK208" s="224">
        <f t="shared" si="60"/>
        <v>105825</v>
      </c>
    </row>
    <row r="209" spans="1:37" x14ac:dyDescent="0.25">
      <c r="A209" s="600"/>
      <c r="B209" s="498"/>
      <c r="C209" s="498"/>
      <c r="D209" s="496"/>
      <c r="E209" s="530"/>
      <c r="F209" s="496"/>
      <c r="G209" s="496"/>
      <c r="H209" s="500"/>
      <c r="I209" s="106"/>
      <c r="J209" s="530"/>
      <c r="K209" s="224"/>
      <c r="L209" s="530"/>
      <c r="M209" s="496"/>
      <c r="N209" s="496"/>
      <c r="O209" s="500"/>
      <c r="P209" s="530"/>
      <c r="Q209" s="530"/>
      <c r="R209" s="497"/>
      <c r="S209" s="224"/>
      <c r="T209" s="224"/>
      <c r="U209" s="224"/>
      <c r="V209" s="224"/>
      <c r="W209" s="224"/>
      <c r="X209" s="530"/>
      <c r="Y209" s="496"/>
      <c r="Z209" s="496"/>
      <c r="AA209" s="500"/>
      <c r="AB209" s="106"/>
      <c r="AC209" s="530"/>
      <c r="AD209" s="224"/>
      <c r="AE209" s="530"/>
      <c r="AF209" s="496"/>
      <c r="AG209" s="496">
        <v>1.6</v>
      </c>
      <c r="AH209" s="500"/>
      <c r="AI209" s="106"/>
      <c r="AJ209" s="530"/>
      <c r="AK209" s="224"/>
    </row>
    <row r="210" spans="1:37" x14ac:dyDescent="0.25">
      <c r="A210" s="600">
        <v>136</v>
      </c>
      <c r="B210" s="495" t="s">
        <v>945</v>
      </c>
      <c r="C210" s="498" t="s">
        <v>943</v>
      </c>
      <c r="D210" s="496"/>
      <c r="E210" s="530">
        <v>0.5</v>
      </c>
      <c r="F210" s="496" t="s">
        <v>947</v>
      </c>
      <c r="G210" s="496">
        <v>1</v>
      </c>
      <c r="H210" s="500">
        <v>36376</v>
      </c>
      <c r="I210" s="106"/>
      <c r="J210" s="530"/>
      <c r="K210" s="224">
        <f>H210+I210+J210</f>
        <v>36376</v>
      </c>
      <c r="L210" s="530">
        <v>0.5</v>
      </c>
      <c r="M210" s="496" t="s">
        <v>947</v>
      </c>
      <c r="N210" s="496">
        <v>1</v>
      </c>
      <c r="O210" s="500">
        <v>36376</v>
      </c>
      <c r="P210" s="530"/>
      <c r="Q210" s="530"/>
      <c r="R210" s="497">
        <f>O210+P210+Q210</f>
        <v>36376</v>
      </c>
      <c r="S210" s="224">
        <f>+E210-L210</f>
        <v>0</v>
      </c>
      <c r="T210" s="224">
        <f t="shared" ref="T210:V213" si="70">H210-O210</f>
        <v>0</v>
      </c>
      <c r="U210" s="224">
        <f t="shared" si="70"/>
        <v>0</v>
      </c>
      <c r="V210" s="224">
        <f t="shared" si="70"/>
        <v>0</v>
      </c>
      <c r="W210" s="224">
        <f>T210+U210+V210</f>
        <v>0</v>
      </c>
      <c r="X210" s="530">
        <v>0.5</v>
      </c>
      <c r="Y210" s="496" t="s">
        <v>947</v>
      </c>
      <c r="Z210" s="496">
        <v>1</v>
      </c>
      <c r="AA210" s="500">
        <v>36376</v>
      </c>
      <c r="AB210" s="106"/>
      <c r="AC210" s="530"/>
      <c r="AD210" s="224">
        <f>AA210+AB210+AC210</f>
        <v>36376</v>
      </c>
      <c r="AE210" s="530">
        <v>0.5</v>
      </c>
      <c r="AF210" s="496"/>
      <c r="AG210" s="496"/>
      <c r="AH210" s="500">
        <v>36376</v>
      </c>
      <c r="AI210" s="106"/>
      <c r="AJ210" s="530"/>
      <c r="AK210" s="224">
        <f>AH210+AI210+AJ210</f>
        <v>36376</v>
      </c>
    </row>
    <row r="211" spans="1:37" x14ac:dyDescent="0.25">
      <c r="A211" s="600"/>
      <c r="B211" s="498" t="s">
        <v>946</v>
      </c>
      <c r="C211" s="498" t="s">
        <v>943</v>
      </c>
      <c r="D211" s="496"/>
      <c r="E211" s="530">
        <v>0.5</v>
      </c>
      <c r="F211" s="496" t="s">
        <v>944</v>
      </c>
      <c r="G211" s="496">
        <v>1</v>
      </c>
      <c r="H211" s="500">
        <v>36376</v>
      </c>
      <c r="I211" s="106"/>
      <c r="J211" s="530"/>
      <c r="K211" s="224">
        <f>H211+I211+J211</f>
        <v>36376</v>
      </c>
      <c r="L211" s="530">
        <v>0.5</v>
      </c>
      <c r="M211" s="496" t="s">
        <v>944</v>
      </c>
      <c r="N211" s="496">
        <v>1</v>
      </c>
      <c r="O211" s="500">
        <v>36376</v>
      </c>
      <c r="P211" s="530"/>
      <c r="Q211" s="530"/>
      <c r="R211" s="497">
        <f>O211+P211+Q211</f>
        <v>36376</v>
      </c>
      <c r="S211" s="224">
        <f>+E211-L211</f>
        <v>0</v>
      </c>
      <c r="T211" s="224">
        <f t="shared" si="70"/>
        <v>0</v>
      </c>
      <c r="U211" s="224">
        <f t="shared" si="70"/>
        <v>0</v>
      </c>
      <c r="V211" s="224">
        <f t="shared" si="70"/>
        <v>0</v>
      </c>
      <c r="W211" s="224">
        <f>T211+U211+V211</f>
        <v>0</v>
      </c>
      <c r="X211" s="530">
        <v>0.5</v>
      </c>
      <c r="Y211" s="496" t="s">
        <v>944</v>
      </c>
      <c r="Z211" s="496">
        <v>1</v>
      </c>
      <c r="AA211" s="500">
        <v>36376</v>
      </c>
      <c r="AB211" s="106"/>
      <c r="AC211" s="530"/>
      <c r="AD211" s="224">
        <f>AA211+AB211+AC211</f>
        <v>36376</v>
      </c>
      <c r="AE211" s="530">
        <v>0.5</v>
      </c>
      <c r="AF211" s="496"/>
      <c r="AG211" s="496">
        <v>1</v>
      </c>
      <c r="AH211" s="500">
        <v>36376</v>
      </c>
      <c r="AI211" s="106"/>
      <c r="AJ211" s="530"/>
      <c r="AK211" s="224">
        <f>AH211+AI211+AJ211</f>
        <v>36376</v>
      </c>
    </row>
    <row r="212" spans="1:37" x14ac:dyDescent="0.25">
      <c r="A212" s="600">
        <v>137</v>
      </c>
      <c r="B212" s="498" t="s">
        <v>948</v>
      </c>
      <c r="C212" s="498" t="s">
        <v>943</v>
      </c>
      <c r="D212" s="496"/>
      <c r="E212" s="530">
        <v>0.5</v>
      </c>
      <c r="F212" s="496" t="s">
        <v>951</v>
      </c>
      <c r="G212" s="496">
        <v>1</v>
      </c>
      <c r="H212" s="500">
        <v>36376</v>
      </c>
      <c r="I212" s="106"/>
      <c r="J212" s="530"/>
      <c r="K212" s="224">
        <f>H212+I212+J212</f>
        <v>36376</v>
      </c>
      <c r="L212" s="530">
        <v>0.5</v>
      </c>
      <c r="M212" s="496" t="s">
        <v>951</v>
      </c>
      <c r="N212" s="496">
        <v>1</v>
      </c>
      <c r="O212" s="500">
        <v>36376</v>
      </c>
      <c r="P212" s="530"/>
      <c r="Q212" s="530"/>
      <c r="R212" s="497">
        <f>O212+P212+Q212</f>
        <v>36376</v>
      </c>
      <c r="S212" s="224">
        <f>+E212-L212</f>
        <v>0</v>
      </c>
      <c r="T212" s="224">
        <f t="shared" si="70"/>
        <v>0</v>
      </c>
      <c r="U212" s="224">
        <f t="shared" si="70"/>
        <v>0</v>
      </c>
      <c r="V212" s="224">
        <f t="shared" si="70"/>
        <v>0</v>
      </c>
      <c r="W212" s="224">
        <f>T212+U212+V212</f>
        <v>0</v>
      </c>
      <c r="X212" s="530">
        <v>0.5</v>
      </c>
      <c r="Y212" s="496" t="s">
        <v>951</v>
      </c>
      <c r="Z212" s="496">
        <v>1</v>
      </c>
      <c r="AA212" s="500">
        <v>36376</v>
      </c>
      <c r="AB212" s="106"/>
      <c r="AC212" s="530"/>
      <c r="AD212" s="224">
        <f>AA212+AB212+AC212</f>
        <v>36376</v>
      </c>
      <c r="AE212" s="530">
        <v>0.5</v>
      </c>
      <c r="AF212" s="496"/>
      <c r="AG212" s="496">
        <v>1</v>
      </c>
      <c r="AH212" s="500">
        <v>36376</v>
      </c>
      <c r="AI212" s="106"/>
      <c r="AJ212" s="530"/>
      <c r="AK212" s="224">
        <f>AH212+AI212+AJ212</f>
        <v>36376</v>
      </c>
    </row>
    <row r="213" spans="1:37" x14ac:dyDescent="0.25">
      <c r="A213" s="600"/>
      <c r="B213" s="498" t="s">
        <v>949</v>
      </c>
      <c r="C213" s="498" t="s">
        <v>950</v>
      </c>
      <c r="D213" s="496"/>
      <c r="E213" s="530">
        <v>0.5</v>
      </c>
      <c r="F213" s="496" t="s">
        <v>952</v>
      </c>
      <c r="G213" s="496">
        <v>1</v>
      </c>
      <c r="H213" s="500">
        <v>36376</v>
      </c>
      <c r="I213" s="106"/>
      <c r="J213" s="530"/>
      <c r="K213" s="224">
        <f>H213+I213+J213</f>
        <v>36376</v>
      </c>
      <c r="L213" s="530">
        <v>0.5</v>
      </c>
      <c r="M213" s="496" t="s">
        <v>952</v>
      </c>
      <c r="N213" s="496">
        <v>1</v>
      </c>
      <c r="O213" s="500">
        <v>36376</v>
      </c>
      <c r="P213" s="530"/>
      <c r="Q213" s="530"/>
      <c r="R213" s="497">
        <f>O213+P213+Q213</f>
        <v>36376</v>
      </c>
      <c r="S213" s="224">
        <f>+E213-L213</f>
        <v>0</v>
      </c>
      <c r="T213" s="224">
        <f t="shared" si="70"/>
        <v>0</v>
      </c>
      <c r="U213" s="224">
        <f t="shared" si="70"/>
        <v>0</v>
      </c>
      <c r="V213" s="224">
        <f t="shared" si="70"/>
        <v>0</v>
      </c>
      <c r="W213" s="224">
        <f>T213+U213+V213</f>
        <v>0</v>
      </c>
      <c r="X213" s="530">
        <v>0.5</v>
      </c>
      <c r="Y213" s="496" t="s">
        <v>952</v>
      </c>
      <c r="Z213" s="496">
        <v>1</v>
      </c>
      <c r="AA213" s="500">
        <v>36376</v>
      </c>
      <c r="AB213" s="106"/>
      <c r="AC213" s="530"/>
      <c r="AD213" s="224">
        <f>AA213+AB213+AC213</f>
        <v>36376</v>
      </c>
      <c r="AE213" s="530">
        <v>0.5</v>
      </c>
      <c r="AF213" s="496"/>
      <c r="AG213" s="496">
        <v>1</v>
      </c>
      <c r="AH213" s="500">
        <v>36376</v>
      </c>
      <c r="AI213" s="106"/>
      <c r="AJ213" s="530"/>
      <c r="AK213" s="224">
        <f>AH213+AI213+AJ213</f>
        <v>36376</v>
      </c>
    </row>
    <row r="214" spans="1:37" ht="1.5" customHeight="1" x14ac:dyDescent="0.25">
      <c r="A214" s="600"/>
      <c r="B214" s="498"/>
      <c r="C214" s="498"/>
      <c r="D214" s="496"/>
      <c r="E214" s="530"/>
      <c r="F214" s="496"/>
      <c r="G214" s="496"/>
      <c r="H214" s="500"/>
      <c r="I214" s="106"/>
      <c r="J214" s="530"/>
      <c r="K214" s="224"/>
      <c r="L214" s="530"/>
      <c r="M214" s="496"/>
      <c r="N214" s="496"/>
      <c r="O214" s="500"/>
      <c r="P214" s="530"/>
      <c r="Q214" s="530"/>
      <c r="R214" s="497"/>
      <c r="S214" s="224"/>
      <c r="T214" s="224"/>
      <c r="U214" s="224"/>
      <c r="V214" s="224"/>
      <c r="W214" s="224"/>
      <c r="X214" s="530"/>
      <c r="Y214" s="496"/>
      <c r="Z214" s="496"/>
      <c r="AA214" s="500"/>
      <c r="AB214" s="106"/>
      <c r="AC214" s="530"/>
      <c r="AD214" s="224"/>
      <c r="AE214" s="530"/>
      <c r="AF214" s="496"/>
      <c r="AG214" s="496">
        <v>1</v>
      </c>
      <c r="AH214" s="500">
        <v>36376</v>
      </c>
      <c r="AI214" s="106"/>
      <c r="AJ214" s="530"/>
      <c r="AK214" s="224"/>
    </row>
    <row r="215" spans="1:37" hidden="1" x14ac:dyDescent="0.25">
      <c r="A215" s="600"/>
      <c r="B215" s="498"/>
      <c r="C215" s="498"/>
      <c r="D215" s="496"/>
      <c r="E215" s="530"/>
      <c r="F215" s="496"/>
      <c r="G215" s="496"/>
      <c r="H215" s="500"/>
      <c r="I215" s="106"/>
      <c r="J215" s="530"/>
      <c r="K215" s="224"/>
      <c r="L215" s="530"/>
      <c r="M215" s="496"/>
      <c r="N215" s="496"/>
      <c r="O215" s="500"/>
      <c r="P215" s="530"/>
      <c r="Q215" s="530"/>
      <c r="R215" s="497"/>
      <c r="S215" s="224"/>
      <c r="T215" s="224"/>
      <c r="U215" s="224"/>
      <c r="V215" s="224"/>
      <c r="W215" s="224"/>
      <c r="X215" s="530"/>
      <c r="Y215" s="496"/>
      <c r="Z215" s="496"/>
      <c r="AA215" s="500"/>
      <c r="AB215" s="106"/>
      <c r="AC215" s="530"/>
      <c r="AD215" s="224"/>
      <c r="AE215" s="530"/>
      <c r="AF215" s="496"/>
      <c r="AG215" s="496"/>
      <c r="AH215" s="500"/>
      <c r="AI215" s="106"/>
      <c r="AJ215" s="530"/>
      <c r="AK215" s="224"/>
    </row>
    <row r="216" spans="1:37" hidden="1" x14ac:dyDescent="0.25">
      <c r="A216" s="600"/>
      <c r="B216" s="498"/>
      <c r="C216" s="498"/>
      <c r="D216" s="496"/>
      <c r="E216" s="530"/>
      <c r="F216" s="496"/>
      <c r="G216" s="496"/>
      <c r="H216" s="500"/>
      <c r="I216" s="106"/>
      <c r="J216" s="530"/>
      <c r="K216" s="224"/>
      <c r="L216" s="530"/>
      <c r="M216" s="496"/>
      <c r="N216" s="496"/>
      <c r="O216" s="500"/>
      <c r="P216" s="530"/>
      <c r="Q216" s="530"/>
      <c r="R216" s="497"/>
      <c r="S216" s="224"/>
      <c r="T216" s="224"/>
      <c r="U216" s="224"/>
      <c r="V216" s="224"/>
      <c r="W216" s="224"/>
      <c r="X216" s="530"/>
      <c r="Y216" s="496"/>
      <c r="Z216" s="496"/>
      <c r="AA216" s="500"/>
      <c r="AB216" s="106"/>
      <c r="AC216" s="530"/>
      <c r="AD216" s="224"/>
      <c r="AE216" s="530"/>
      <c r="AF216" s="496"/>
      <c r="AG216" s="496"/>
      <c r="AH216" s="500"/>
      <c r="AI216" s="106"/>
      <c r="AJ216" s="530"/>
      <c r="AK216" s="224"/>
    </row>
    <row r="217" spans="1:37" hidden="1" x14ac:dyDescent="0.25">
      <c r="A217" s="600"/>
      <c r="B217" s="498"/>
      <c r="C217" s="498"/>
      <c r="D217" s="496"/>
      <c r="E217" s="530"/>
      <c r="F217" s="496"/>
      <c r="G217" s="496"/>
      <c r="H217" s="500"/>
      <c r="I217" s="106"/>
      <c r="J217" s="530"/>
      <c r="K217" s="224"/>
      <c r="L217" s="530"/>
      <c r="M217" s="496"/>
      <c r="N217" s="496"/>
      <c r="O217" s="500"/>
      <c r="P217" s="530"/>
      <c r="Q217" s="530"/>
      <c r="R217" s="497"/>
      <c r="S217" s="224"/>
      <c r="T217" s="224"/>
      <c r="U217" s="224"/>
      <c r="V217" s="224"/>
      <c r="W217" s="224"/>
      <c r="X217" s="530"/>
      <c r="Y217" s="496"/>
      <c r="Z217" s="496"/>
      <c r="AA217" s="500"/>
      <c r="AB217" s="106"/>
      <c r="AC217" s="530"/>
      <c r="AD217" s="224"/>
      <c r="AE217" s="530"/>
      <c r="AF217" s="496"/>
      <c r="AG217" s="496"/>
      <c r="AH217" s="500"/>
      <c r="AI217" s="106"/>
      <c r="AJ217" s="530"/>
      <c r="AK217" s="224"/>
    </row>
    <row r="218" spans="1:37" x14ac:dyDescent="0.25">
      <c r="A218" s="494"/>
      <c r="B218" s="504" t="s">
        <v>953</v>
      </c>
      <c r="C218" s="519" t="s">
        <v>1</v>
      </c>
      <c r="D218" s="519" t="s">
        <v>1</v>
      </c>
      <c r="E218" s="521">
        <f>SUM(E204:E217)</f>
        <v>6</v>
      </c>
      <c r="F218" s="519" t="s">
        <v>1</v>
      </c>
      <c r="G218" s="519" t="s">
        <v>1</v>
      </c>
      <c r="H218" s="521">
        <f>H204+H205+H206+H207+H208+H210+H211+H212+H213</f>
        <v>499355</v>
      </c>
      <c r="I218" s="521">
        <f>SUM(I204:I217)</f>
        <v>0</v>
      </c>
      <c r="J218" s="521">
        <f>SUM(J204:J217)</f>
        <v>0</v>
      </c>
      <c r="K218" s="521">
        <f>SUM(K204:K217)</f>
        <v>499355</v>
      </c>
      <c r="L218" s="521">
        <f>SUM(L204:L217)</f>
        <v>6</v>
      </c>
      <c r="M218" s="519" t="s">
        <v>1</v>
      </c>
      <c r="N218" s="521"/>
      <c r="O218" s="521">
        <f>SUM(O204:O217)</f>
        <v>499355</v>
      </c>
      <c r="P218" s="521">
        <f>SUM(P204:P217)</f>
        <v>0</v>
      </c>
      <c r="Q218" s="521">
        <f>SUM(Q204:Q217)</f>
        <v>0</v>
      </c>
      <c r="R218" s="521">
        <f>SUM(R204:R217)</f>
        <v>499355</v>
      </c>
      <c r="S218" s="224">
        <f t="shared" si="58"/>
        <v>0</v>
      </c>
      <c r="T218" s="224">
        <f t="shared" si="68"/>
        <v>0</v>
      </c>
      <c r="U218" s="224">
        <f t="shared" si="68"/>
        <v>0</v>
      </c>
      <c r="V218" s="224">
        <f t="shared" si="68"/>
        <v>0</v>
      </c>
      <c r="W218" s="224">
        <f t="shared" si="63"/>
        <v>0</v>
      </c>
      <c r="X218" s="521">
        <f>SUM(X204:X217)</f>
        <v>5.5</v>
      </c>
      <c r="Y218" s="519" t="s">
        <v>1</v>
      </c>
      <c r="Z218" s="519" t="s">
        <v>1</v>
      </c>
      <c r="AA218" s="521">
        <f>SUM(AA204:AA217)</f>
        <v>499355</v>
      </c>
      <c r="AB218" s="521">
        <f>SUM(AB204:AB217)</f>
        <v>0</v>
      </c>
      <c r="AC218" s="521">
        <f>SUM(AC204:AC217)</f>
        <v>0</v>
      </c>
      <c r="AD218" s="521">
        <f>SUM(AD204:AD217)</f>
        <v>499355</v>
      </c>
      <c r="AE218" s="521">
        <f t="shared" ref="AE218:AK218" si="71">SUM(AE204:AE217)</f>
        <v>5.5</v>
      </c>
      <c r="AF218" s="521">
        <f t="shared" si="71"/>
        <v>0</v>
      </c>
      <c r="AG218" s="521">
        <v>6</v>
      </c>
      <c r="AH218" s="521">
        <f>AH204+AH205+AH206+AH207+AH208+AH210+AH211+AH212+AH213</f>
        <v>499355</v>
      </c>
      <c r="AI218" s="521">
        <f t="shared" si="71"/>
        <v>0</v>
      </c>
      <c r="AJ218" s="521">
        <f t="shared" si="71"/>
        <v>0</v>
      </c>
      <c r="AK218" s="521">
        <f t="shared" si="71"/>
        <v>499355</v>
      </c>
    </row>
    <row r="219" spans="1:37" ht="25.5" x14ac:dyDescent="0.25">
      <c r="A219" s="494"/>
      <c r="B219" s="524" t="s">
        <v>954</v>
      </c>
      <c r="C219" s="519" t="s">
        <v>1</v>
      </c>
      <c r="D219" s="519" t="s">
        <v>1</v>
      </c>
      <c r="E219" s="521">
        <f t="shared" ref="E219:J219" si="72">E14+E25+E201+E218</f>
        <v>137</v>
      </c>
      <c r="F219" s="521"/>
      <c r="G219" s="521"/>
      <c r="H219" s="521">
        <f>H14+H25+H201+H218</f>
        <v>30525592.199999996</v>
      </c>
      <c r="I219" s="521">
        <f t="shared" si="72"/>
        <v>0</v>
      </c>
      <c r="J219" s="521">
        <f t="shared" si="72"/>
        <v>824402.49</v>
      </c>
      <c r="K219" s="521">
        <f>K14+K25+K201+K218</f>
        <v>31349994.689999998</v>
      </c>
      <c r="L219" s="521">
        <f>L14+L25+L201+L218</f>
        <v>137</v>
      </c>
      <c r="M219" s="521"/>
      <c r="N219" s="521"/>
      <c r="O219" s="521">
        <f t="shared" ref="O219:AK219" si="73">O14+O25+O201+O218</f>
        <v>30014991.400000002</v>
      </c>
      <c r="P219" s="521">
        <f t="shared" si="73"/>
        <v>0</v>
      </c>
      <c r="Q219" s="521">
        <f t="shared" si="73"/>
        <v>811240.31000000029</v>
      </c>
      <c r="R219" s="521">
        <f>R14+R25+R201+R218</f>
        <v>30826231.710000005</v>
      </c>
      <c r="S219" s="521">
        <f t="shared" si="73"/>
        <v>0</v>
      </c>
      <c r="T219" s="521">
        <f t="shared" si="73"/>
        <v>510600.79999999329</v>
      </c>
      <c r="U219" s="521">
        <f t="shared" si="73"/>
        <v>0</v>
      </c>
      <c r="V219" s="521">
        <f t="shared" si="73"/>
        <v>13162.179999999702</v>
      </c>
      <c r="W219" s="521">
        <f t="shared" si="73"/>
        <v>523762.979999993</v>
      </c>
      <c r="X219" s="521">
        <f t="shared" si="73"/>
        <v>136.5</v>
      </c>
      <c r="Y219" s="521"/>
      <c r="Z219" s="521"/>
      <c r="AA219" s="521">
        <f t="shared" si="73"/>
        <v>30699540.400000006</v>
      </c>
      <c r="AB219" s="521">
        <f t="shared" si="73"/>
        <v>0</v>
      </c>
      <c r="AC219" s="521">
        <f t="shared" si="73"/>
        <v>875197.23</v>
      </c>
      <c r="AD219" s="521">
        <f t="shared" si="73"/>
        <v>31574737.630000006</v>
      </c>
      <c r="AE219" s="521">
        <f t="shared" si="73"/>
        <v>131.5</v>
      </c>
      <c r="AF219" s="521"/>
      <c r="AG219" s="521"/>
      <c r="AH219" s="521">
        <f t="shared" si="73"/>
        <v>30920448</v>
      </c>
      <c r="AI219" s="521">
        <f t="shared" si="73"/>
        <v>0</v>
      </c>
      <c r="AJ219" s="521">
        <f t="shared" si="73"/>
        <v>883597.01000000013</v>
      </c>
      <c r="AK219" s="521">
        <f t="shared" si="73"/>
        <v>31804045.010000002</v>
      </c>
    </row>
    <row r="220" spans="1:37" s="16" customFormat="1" ht="12" customHeight="1" x14ac:dyDescent="0.25">
      <c r="A220" s="43"/>
      <c r="B220" s="445"/>
      <c r="C220" s="228"/>
      <c r="D220" s="43"/>
      <c r="E220" s="227"/>
      <c r="F220" s="43"/>
      <c r="G220" s="43"/>
      <c r="H220" s="43"/>
      <c r="I220" s="43"/>
      <c r="J220" s="43"/>
      <c r="K220" s="43"/>
      <c r="L220" s="227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227"/>
      <c r="Y220" s="43"/>
      <c r="Z220" s="43"/>
      <c r="AA220" s="43"/>
      <c r="AB220" s="43"/>
      <c r="AC220" s="43"/>
      <c r="AD220" s="43"/>
      <c r="AE220" s="227"/>
      <c r="AF220" s="43"/>
      <c r="AG220" s="43"/>
      <c r="AH220" s="43"/>
      <c r="AI220" s="43"/>
      <c r="AJ220" s="43"/>
      <c r="AK220" s="43"/>
    </row>
    <row r="222" spans="1:37" x14ac:dyDescent="0.25">
      <c r="B222" s="20" t="s">
        <v>171</v>
      </c>
    </row>
    <row r="223" spans="1:37" ht="19.5" customHeight="1" x14ac:dyDescent="0.25">
      <c r="B223" s="446" t="s">
        <v>320</v>
      </c>
      <c r="C223" s="168"/>
      <c r="D223" s="279"/>
      <c r="E223" s="279"/>
      <c r="F223" s="279"/>
      <c r="G223" s="279"/>
      <c r="M223" s="279"/>
      <c r="N223" s="279"/>
      <c r="Y223" s="279"/>
      <c r="Z223" s="279"/>
      <c r="AF223" s="279"/>
      <c r="AG223" s="279"/>
    </row>
    <row r="224" spans="1:37" ht="33.75" customHeight="1" x14ac:dyDescent="0.3">
      <c r="B224" s="606" t="s">
        <v>319</v>
      </c>
      <c r="C224" s="607"/>
      <c r="D224" s="607"/>
      <c r="E224" s="607"/>
      <c r="F224" s="607"/>
      <c r="G224" s="607"/>
      <c r="H224" s="607"/>
      <c r="I224" s="607"/>
    </row>
    <row r="225" spans="2:33" ht="19.5" customHeight="1" x14ac:dyDescent="0.3">
      <c r="B225" s="447" t="s">
        <v>200</v>
      </c>
      <c r="C225" s="279"/>
      <c r="D225" s="279"/>
      <c r="E225" s="279"/>
      <c r="F225" s="279"/>
      <c r="G225" s="279"/>
      <c r="M225" s="279"/>
      <c r="N225" s="279"/>
      <c r="Y225" s="279"/>
      <c r="Z225" s="279"/>
      <c r="AF225" s="279"/>
      <c r="AG225" s="279"/>
    </row>
  </sheetData>
  <customSheetViews>
    <customSheetView guid="{EE5C0AFB-B96A-4C3C-885D-9A248AEB532B}" showPageBreaks="1" showRuler="0">
      <selection activeCell="H14" sqref="H14"/>
      <pageMargins left="0.75" right="0.75" top="1" bottom="1" header="0.5" footer="0.5"/>
      <pageSetup paperSize="9" scale="85" orientation="landscape" verticalDpi="0" r:id="rId1"/>
      <headerFooter alignWithMargins="0"/>
    </customSheetView>
  </customSheetViews>
  <mergeCells count="41">
    <mergeCell ref="B224:I224"/>
    <mergeCell ref="S2:X2"/>
    <mergeCell ref="S4:W4"/>
    <mergeCell ref="B33:D33"/>
    <mergeCell ref="B35:D35"/>
    <mergeCell ref="B39:D39"/>
    <mergeCell ref="B45:D45"/>
    <mergeCell ref="B49:D49"/>
    <mergeCell ref="B53:D53"/>
    <mergeCell ref="B58:D58"/>
    <mergeCell ref="B62:D62"/>
    <mergeCell ref="B67:D67"/>
    <mergeCell ref="B69:D69"/>
    <mergeCell ref="B75:D75"/>
    <mergeCell ref="B80:D80"/>
    <mergeCell ref="B84:D84"/>
    <mergeCell ref="B89:D89"/>
    <mergeCell ref="B91:D91"/>
    <mergeCell ref="B95:D95"/>
    <mergeCell ref="B100:D100"/>
    <mergeCell ref="B102:D102"/>
    <mergeCell ref="B106:D106"/>
    <mergeCell ref="B111:D111"/>
    <mergeCell ref="B115:D115"/>
    <mergeCell ref="B119:D119"/>
    <mergeCell ref="B125:D125"/>
    <mergeCell ref="B133:D133"/>
    <mergeCell ref="B138:D138"/>
    <mergeCell ref="B144:D144"/>
    <mergeCell ref="B150:D150"/>
    <mergeCell ref="B154:D154"/>
    <mergeCell ref="B169:D169"/>
    <mergeCell ref="B181:D181"/>
    <mergeCell ref="B190:D190"/>
    <mergeCell ref="A216:A217"/>
    <mergeCell ref="B202:D202"/>
    <mergeCell ref="A205:A206"/>
    <mergeCell ref="A208:A209"/>
    <mergeCell ref="A210:A211"/>
    <mergeCell ref="A212:A213"/>
    <mergeCell ref="A214:A215"/>
  </mergeCells>
  <phoneticPr fontId="2" type="noConversion"/>
  <pageMargins left="0.16" right="0.17" top="0.17" bottom="0.17" header="0.18" footer="0.17"/>
  <pageSetup paperSize="9" scale="80" orientation="portrait" verticalDpi="1200" r:id="rId2"/>
  <headerFooter alignWithMargins="0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opLeftCell="A7" workbookViewId="0">
      <selection activeCell="AF22" sqref="AF22"/>
    </sheetView>
  </sheetViews>
  <sheetFormatPr defaultRowHeight="14.25" x14ac:dyDescent="0.25"/>
  <cols>
    <col min="1" max="1" width="5.7109375" style="240" customWidth="1"/>
    <col min="2" max="2" width="34.140625" style="5" customWidth="1"/>
    <col min="3" max="3" width="11.140625" style="42" customWidth="1"/>
    <col min="4" max="4" width="11.28515625" style="42" customWidth="1"/>
    <col min="5" max="5" width="9.140625" style="42" customWidth="1"/>
    <col min="6" max="6" width="10.85546875" style="42" customWidth="1"/>
    <col min="7" max="7" width="11.28515625" style="42" customWidth="1"/>
    <col min="8" max="8" width="13.7109375" style="308" customWidth="1"/>
    <col min="9" max="9" width="11.140625" style="42" customWidth="1"/>
    <col min="10" max="10" width="11.5703125" style="42" customWidth="1"/>
    <col min="11" max="11" width="10.42578125" style="42" customWidth="1"/>
    <col min="12" max="12" width="9.140625" style="42"/>
    <col min="13" max="13" width="12" style="42" customWidth="1"/>
    <col min="14" max="14" width="13.5703125" style="308" customWidth="1"/>
    <col min="15" max="18" width="10.7109375" style="42" customWidth="1"/>
    <col min="19" max="19" width="11.42578125" style="42" customWidth="1"/>
    <col min="20" max="20" width="14.5703125" style="308" customWidth="1"/>
    <col min="21" max="21" width="11.140625" style="42" customWidth="1"/>
    <col min="22" max="22" width="12.42578125" style="42" customWidth="1"/>
    <col min="23" max="25" width="11.140625" style="42" customWidth="1"/>
    <col min="26" max="26" width="14.42578125" style="308" customWidth="1"/>
    <col min="27" max="30" width="11.140625" style="42" customWidth="1"/>
    <col min="31" max="31" width="11.42578125" style="42" customWidth="1"/>
    <col min="32" max="32" width="12.85546875" style="308" customWidth="1"/>
    <col min="33" max="16384" width="9.140625" style="42"/>
  </cols>
  <sheetData>
    <row r="1" spans="1:44" s="5" customFormat="1" ht="24.75" customHeight="1" x14ac:dyDescent="0.3">
      <c r="A1" s="31"/>
      <c r="B1" s="343" t="s">
        <v>228</v>
      </c>
      <c r="C1" s="32"/>
      <c r="D1" s="32"/>
      <c r="E1" s="32"/>
      <c r="F1" s="32"/>
      <c r="G1" s="32"/>
      <c r="H1" s="231"/>
      <c r="I1" s="31"/>
      <c r="J1" s="124" t="s">
        <v>179</v>
      </c>
      <c r="K1" s="32"/>
      <c r="L1" s="278"/>
      <c r="M1" s="167"/>
      <c r="N1" s="231"/>
      <c r="O1" s="22"/>
      <c r="P1" s="22"/>
      <c r="Q1" s="22"/>
      <c r="R1" s="22"/>
      <c r="S1" s="167"/>
      <c r="T1" s="231"/>
      <c r="U1" s="167"/>
      <c r="V1" s="167"/>
      <c r="W1" s="167"/>
      <c r="X1" s="167"/>
      <c r="Y1" s="167"/>
      <c r="Z1" s="231"/>
      <c r="AA1" s="167"/>
      <c r="AB1" s="167"/>
      <c r="AC1" s="167"/>
      <c r="AD1" s="167"/>
      <c r="AE1" s="167"/>
      <c r="AF1" s="231"/>
      <c r="AG1" s="22"/>
      <c r="AH1" s="19"/>
      <c r="AI1" s="125"/>
      <c r="AJ1" s="19"/>
      <c r="AK1" s="125"/>
      <c r="AL1" s="32"/>
      <c r="AM1" s="125"/>
      <c r="AN1" s="32"/>
      <c r="AO1" s="125"/>
      <c r="AP1" s="32"/>
      <c r="AQ1" s="125"/>
      <c r="AR1" s="39"/>
    </row>
    <row r="2" spans="1:44" s="5" customFormat="1" ht="23.25" customHeight="1" thickBot="1" x14ac:dyDescent="0.3">
      <c r="A2" s="31"/>
      <c r="B2" s="23"/>
      <c r="C2" s="164"/>
      <c r="D2" s="164"/>
      <c r="E2" s="164"/>
      <c r="F2" s="164"/>
      <c r="G2" s="164"/>
      <c r="H2" s="306"/>
      <c r="J2" s="332" t="s">
        <v>11</v>
      </c>
      <c r="K2" s="131"/>
      <c r="L2" s="131"/>
      <c r="M2" s="131"/>
      <c r="N2" s="306"/>
      <c r="O2" s="131"/>
      <c r="P2" s="131"/>
      <c r="Q2" s="131"/>
      <c r="R2" s="131"/>
      <c r="S2" s="131"/>
      <c r="T2" s="306"/>
      <c r="U2" s="9"/>
      <c r="V2" s="9"/>
      <c r="W2" s="9"/>
      <c r="X2" s="9"/>
      <c r="Y2" s="9"/>
      <c r="Z2" s="306"/>
      <c r="AA2" s="9"/>
      <c r="AB2" s="9"/>
      <c r="AC2" s="9"/>
      <c r="AD2" s="9"/>
      <c r="AE2" s="9"/>
      <c r="AF2" s="306"/>
      <c r="AG2" s="131"/>
      <c r="AH2" s="229"/>
      <c r="AI2" s="229"/>
      <c r="AJ2" s="229"/>
      <c r="AK2" s="229"/>
      <c r="AL2" s="229"/>
      <c r="AM2" s="229"/>
      <c r="AN2" s="229"/>
      <c r="AO2" s="229"/>
      <c r="AP2" s="229"/>
    </row>
    <row r="3" spans="1:44" s="168" customFormat="1" x14ac:dyDescent="0.25">
      <c r="A3" s="31"/>
      <c r="B3" s="333" t="s">
        <v>12</v>
      </c>
      <c r="C3" s="125"/>
      <c r="D3" s="125"/>
      <c r="E3" s="32"/>
      <c r="F3" s="125"/>
      <c r="G3" s="32"/>
      <c r="H3" s="231"/>
      <c r="I3" s="32"/>
      <c r="J3" s="167"/>
      <c r="K3" s="35"/>
      <c r="L3" s="32"/>
      <c r="M3" s="32"/>
      <c r="N3" s="231"/>
      <c r="O3" s="167"/>
      <c r="P3" s="167"/>
      <c r="Q3" s="167"/>
      <c r="R3" s="167"/>
      <c r="S3" s="35"/>
      <c r="T3" s="231"/>
      <c r="U3" s="125"/>
      <c r="V3" s="125"/>
      <c r="W3" s="125"/>
      <c r="X3" s="125"/>
      <c r="Y3" s="32"/>
      <c r="Z3" s="231"/>
      <c r="AA3" s="125"/>
      <c r="AB3" s="125"/>
      <c r="AC3" s="125"/>
      <c r="AD3" s="125"/>
      <c r="AE3" s="32"/>
      <c r="AF3" s="231"/>
      <c r="AG3" s="167"/>
      <c r="AH3" s="32"/>
      <c r="AI3" s="167"/>
      <c r="AJ3" s="32"/>
      <c r="AK3" s="167"/>
      <c r="AL3" s="35"/>
      <c r="AM3" s="167"/>
      <c r="AN3" s="35"/>
      <c r="AO3" s="167"/>
      <c r="AP3" s="35"/>
      <c r="AQ3" s="167"/>
    </row>
    <row r="4" spans="1:44" s="168" customFormat="1" x14ac:dyDescent="0.25">
      <c r="A4" s="31"/>
      <c r="B4" s="166"/>
      <c r="C4" s="125"/>
      <c r="D4" s="125"/>
      <c r="E4" s="32"/>
      <c r="F4" s="125"/>
      <c r="G4" s="166"/>
      <c r="H4" s="307"/>
      <c r="I4" s="32"/>
      <c r="J4" s="32"/>
      <c r="K4" s="43" t="s">
        <v>159</v>
      </c>
      <c r="L4" s="32"/>
      <c r="M4" s="32"/>
      <c r="N4" s="307"/>
      <c r="O4" s="35"/>
      <c r="P4" s="35"/>
      <c r="Q4" s="35"/>
      <c r="R4" s="35"/>
      <c r="S4" s="167"/>
      <c r="T4" s="307"/>
      <c r="U4" s="125"/>
      <c r="V4" s="125"/>
      <c r="W4" s="125"/>
      <c r="X4" s="125"/>
      <c r="Y4" s="166"/>
      <c r="Z4" s="307"/>
      <c r="AA4" s="125"/>
      <c r="AB4" s="125"/>
      <c r="AC4" s="125"/>
      <c r="AD4" s="125"/>
      <c r="AE4" s="166"/>
      <c r="AF4" s="307"/>
      <c r="AG4" s="35"/>
      <c r="AH4" s="167"/>
      <c r="AI4" s="32"/>
      <c r="AJ4" s="167"/>
      <c r="AK4" s="32"/>
      <c r="AL4" s="167"/>
      <c r="AM4" s="35"/>
      <c r="AN4" s="167"/>
      <c r="AO4" s="35"/>
      <c r="AP4" s="167"/>
      <c r="AQ4" s="35"/>
      <c r="AR4" s="167"/>
    </row>
    <row r="5" spans="1:44" s="309" customFormat="1" ht="21.75" customHeight="1" x14ac:dyDescent="0.25">
      <c r="A5" s="236"/>
      <c r="B5" s="310"/>
      <c r="C5" s="232" t="s">
        <v>240</v>
      </c>
      <c r="D5" s="233"/>
      <c r="E5" s="233"/>
      <c r="F5" s="233"/>
      <c r="G5" s="233"/>
      <c r="H5" s="338"/>
      <c r="I5" s="609" t="s">
        <v>210</v>
      </c>
      <c r="J5" s="608"/>
      <c r="K5" s="608"/>
      <c r="L5" s="608"/>
      <c r="M5" s="610"/>
      <c r="N5" s="338"/>
      <c r="O5" s="340" t="s">
        <v>160</v>
      </c>
      <c r="P5" s="341"/>
      <c r="Q5" s="341"/>
      <c r="R5" s="341"/>
      <c r="S5" s="342"/>
      <c r="T5" s="338"/>
      <c r="U5" s="340" t="s">
        <v>269</v>
      </c>
      <c r="V5" s="341"/>
      <c r="W5" s="341"/>
      <c r="X5" s="341"/>
      <c r="Y5" s="342"/>
      <c r="Z5" s="341"/>
      <c r="AA5" s="340" t="s">
        <v>315</v>
      </c>
      <c r="AB5" s="341"/>
      <c r="AC5" s="341"/>
      <c r="AD5" s="341"/>
      <c r="AE5" s="342"/>
      <c r="AF5" s="362"/>
    </row>
    <row r="6" spans="1:44" ht="76.5" x14ac:dyDescent="0.25">
      <c r="A6" s="237"/>
      <c r="B6" s="238"/>
      <c r="C6" s="65" t="s">
        <v>155</v>
      </c>
      <c r="D6" s="65" t="s">
        <v>173</v>
      </c>
      <c r="E6" s="65" t="s">
        <v>174</v>
      </c>
      <c r="F6" s="65" t="s">
        <v>165</v>
      </c>
      <c r="G6" s="65" t="s">
        <v>176</v>
      </c>
      <c r="H6" s="305" t="s">
        <v>202</v>
      </c>
      <c r="I6" s="66" t="s">
        <v>155</v>
      </c>
      <c r="J6" s="65" t="s">
        <v>173</v>
      </c>
      <c r="K6" s="65" t="s">
        <v>174</v>
      </c>
      <c r="L6" s="65" t="s">
        <v>165</v>
      </c>
      <c r="M6" s="65" t="s">
        <v>176</v>
      </c>
      <c r="N6" s="305" t="s">
        <v>202</v>
      </c>
      <c r="O6" s="66" t="s">
        <v>198</v>
      </c>
      <c r="P6" s="65" t="s">
        <v>173</v>
      </c>
      <c r="Q6" s="65" t="s">
        <v>174</v>
      </c>
      <c r="R6" s="65" t="s">
        <v>165</v>
      </c>
      <c r="S6" s="66" t="s">
        <v>199</v>
      </c>
      <c r="T6" s="305" t="s">
        <v>202</v>
      </c>
      <c r="U6" s="66" t="s">
        <v>155</v>
      </c>
      <c r="V6" s="65" t="s">
        <v>173</v>
      </c>
      <c r="W6" s="65" t="s">
        <v>174</v>
      </c>
      <c r="X6" s="65" t="s">
        <v>165</v>
      </c>
      <c r="Y6" s="66" t="s">
        <v>176</v>
      </c>
      <c r="Z6" s="305" t="s">
        <v>202</v>
      </c>
      <c r="AA6" s="66" t="s">
        <v>155</v>
      </c>
      <c r="AB6" s="65" t="s">
        <v>173</v>
      </c>
      <c r="AC6" s="65" t="s">
        <v>174</v>
      </c>
      <c r="AD6" s="65" t="s">
        <v>165</v>
      </c>
      <c r="AE6" s="66" t="s">
        <v>176</v>
      </c>
      <c r="AF6" s="305" t="s">
        <v>202</v>
      </c>
    </row>
    <row r="7" spans="1:44" s="16" customFormat="1" ht="12.75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  <c r="N7" s="66">
        <v>14</v>
      </c>
      <c r="O7" s="66">
        <v>15</v>
      </c>
      <c r="P7" s="66">
        <v>16</v>
      </c>
      <c r="Q7" s="66">
        <v>17</v>
      </c>
      <c r="R7" s="66">
        <v>18</v>
      </c>
      <c r="S7" s="66">
        <v>19</v>
      </c>
      <c r="T7" s="66">
        <v>20</v>
      </c>
      <c r="U7" s="66">
        <v>21</v>
      </c>
      <c r="V7" s="66">
        <v>22</v>
      </c>
      <c r="W7" s="66">
        <v>23</v>
      </c>
      <c r="X7" s="66">
        <v>24</v>
      </c>
      <c r="Y7" s="66">
        <v>25</v>
      </c>
      <c r="Z7" s="66">
        <v>26</v>
      </c>
      <c r="AA7" s="66">
        <v>27</v>
      </c>
      <c r="AB7" s="66">
        <v>28</v>
      </c>
      <c r="AC7" s="66">
        <v>29</v>
      </c>
      <c r="AD7" s="66">
        <v>30</v>
      </c>
      <c r="AE7" s="66">
        <v>31</v>
      </c>
      <c r="AF7" s="66">
        <v>32</v>
      </c>
    </row>
    <row r="8" spans="1:44" ht="78.75" customHeight="1" x14ac:dyDescent="0.25">
      <c r="A8" s="222">
        <v>1</v>
      </c>
      <c r="B8" s="223" t="s">
        <v>318</v>
      </c>
      <c r="C8" s="212">
        <v>4</v>
      </c>
      <c r="D8" s="212">
        <v>2248760</v>
      </c>
      <c r="E8" s="212"/>
      <c r="F8" s="212"/>
      <c r="G8" s="224">
        <f>D8+F8+E8</f>
        <v>2248760</v>
      </c>
      <c r="H8" s="230">
        <f>G8*13</f>
        <v>29233880</v>
      </c>
      <c r="I8" s="212">
        <v>4</v>
      </c>
      <c r="J8" s="212">
        <v>2248760</v>
      </c>
      <c r="K8" s="212"/>
      <c r="L8" s="212"/>
      <c r="M8" s="224">
        <f>J8+K8+L8</f>
        <v>2248760</v>
      </c>
      <c r="N8" s="230">
        <f>M8*13</f>
        <v>29233880</v>
      </c>
      <c r="O8" s="224">
        <f>C8-I8</f>
        <v>0</v>
      </c>
      <c r="P8" s="224">
        <f>D8-J8</f>
        <v>0</v>
      </c>
      <c r="Q8" s="224">
        <f>E8-K8</f>
        <v>0</v>
      </c>
      <c r="R8" s="224">
        <f>F8-L8</f>
        <v>0</v>
      </c>
      <c r="S8" s="224">
        <f>G8-M8</f>
        <v>0</v>
      </c>
      <c r="T8" s="230">
        <f>+H8-N8</f>
        <v>0</v>
      </c>
      <c r="U8" s="212">
        <v>4</v>
      </c>
      <c r="V8" s="212">
        <v>2248760</v>
      </c>
      <c r="W8" s="212"/>
      <c r="X8" s="212"/>
      <c r="Y8" s="224">
        <f>V8+W8+X8</f>
        <v>2248760</v>
      </c>
      <c r="Z8" s="230">
        <f>Y8*13</f>
        <v>29233880</v>
      </c>
      <c r="AA8" s="212">
        <v>4</v>
      </c>
      <c r="AB8" s="212">
        <v>2248760</v>
      </c>
      <c r="AC8" s="212"/>
      <c r="AD8" s="212"/>
      <c r="AE8" s="224">
        <f>AB8+AC8+AD8</f>
        <v>2248760</v>
      </c>
      <c r="AF8" s="230">
        <f>AE8*13</f>
        <v>29233880</v>
      </c>
    </row>
    <row r="9" spans="1:44" ht="40.5" x14ac:dyDescent="0.25">
      <c r="A9" s="222">
        <v>2</v>
      </c>
      <c r="B9" s="223" t="s">
        <v>326</v>
      </c>
      <c r="C9" s="212">
        <v>7</v>
      </c>
      <c r="D9" s="225">
        <v>1818850</v>
      </c>
      <c r="E9" s="239"/>
      <c r="F9" s="239"/>
      <c r="G9" s="224">
        <f t="shared" ref="G9:G19" si="0">D9+F9+E9</f>
        <v>1818850</v>
      </c>
      <c r="H9" s="230">
        <f t="shared" ref="H9:H18" si="1">G9*13</f>
        <v>23645050</v>
      </c>
      <c r="I9" s="212">
        <v>7</v>
      </c>
      <c r="J9" s="239">
        <v>1818850</v>
      </c>
      <c r="K9" s="239"/>
      <c r="L9" s="239"/>
      <c r="M9" s="224">
        <f t="shared" ref="M9:M19" si="2">J9+K9+L9</f>
        <v>1818850</v>
      </c>
      <c r="N9" s="230">
        <f t="shared" ref="N9:N18" si="3">M9*13</f>
        <v>23645050</v>
      </c>
      <c r="O9" s="224">
        <f t="shared" ref="O9:O19" si="4">C9-I9</f>
        <v>0</v>
      </c>
      <c r="P9" s="224">
        <f t="shared" ref="P9:P19" si="5">D9-J9</f>
        <v>0</v>
      </c>
      <c r="Q9" s="224">
        <f t="shared" ref="Q9:Q19" si="6">E9-K9</f>
        <v>0</v>
      </c>
      <c r="R9" s="224">
        <f t="shared" ref="R9:R19" si="7">F9-L9</f>
        <v>0</v>
      </c>
      <c r="S9" s="224">
        <f t="shared" ref="S9:S19" si="8">G9-M9</f>
        <v>0</v>
      </c>
      <c r="T9" s="230">
        <f t="shared" ref="T9:T19" si="9">+H9-N9</f>
        <v>0</v>
      </c>
      <c r="U9" s="212">
        <v>7</v>
      </c>
      <c r="V9" s="212">
        <v>1818850</v>
      </c>
      <c r="W9" s="212"/>
      <c r="X9" s="212"/>
      <c r="Y9" s="224">
        <f t="shared" ref="Y9:Y19" si="10">V9+W9+X9</f>
        <v>1818850</v>
      </c>
      <c r="Z9" s="230">
        <f t="shared" ref="Z9:Z18" si="11">Y9*13</f>
        <v>23645050</v>
      </c>
      <c r="AA9" s="212">
        <v>7</v>
      </c>
      <c r="AB9" s="212">
        <v>1818850</v>
      </c>
      <c r="AC9" s="212"/>
      <c r="AD9" s="212"/>
      <c r="AE9" s="224">
        <f t="shared" ref="AE9:AE19" si="12">AB9+AC9+AD9</f>
        <v>1818850</v>
      </c>
      <c r="AF9" s="230">
        <f t="shared" ref="AF9:AF18" si="13">AE9*13</f>
        <v>23645050</v>
      </c>
    </row>
    <row r="10" spans="1:44" ht="18" customHeight="1" x14ac:dyDescent="0.25">
      <c r="A10" s="222">
        <v>3</v>
      </c>
      <c r="B10" s="223" t="s">
        <v>175</v>
      </c>
      <c r="C10" s="212"/>
      <c r="D10" s="239"/>
      <c r="E10" s="239"/>
      <c r="F10" s="239"/>
      <c r="G10" s="224">
        <f t="shared" si="0"/>
        <v>0</v>
      </c>
      <c r="H10" s="230">
        <f t="shared" si="1"/>
        <v>0</v>
      </c>
      <c r="I10" s="212"/>
      <c r="J10" s="239"/>
      <c r="K10" s="239"/>
      <c r="L10" s="239"/>
      <c r="M10" s="224">
        <f t="shared" si="2"/>
        <v>0</v>
      </c>
      <c r="N10" s="230">
        <f t="shared" si="3"/>
        <v>0</v>
      </c>
      <c r="O10" s="224">
        <f t="shared" si="4"/>
        <v>0</v>
      </c>
      <c r="P10" s="224">
        <f t="shared" si="5"/>
        <v>0</v>
      </c>
      <c r="Q10" s="224">
        <f t="shared" si="6"/>
        <v>0</v>
      </c>
      <c r="R10" s="224">
        <f t="shared" si="7"/>
        <v>0</v>
      </c>
      <c r="S10" s="224">
        <f t="shared" si="8"/>
        <v>0</v>
      </c>
      <c r="T10" s="230">
        <f t="shared" si="9"/>
        <v>0</v>
      </c>
      <c r="U10" s="212"/>
      <c r="V10" s="212"/>
      <c r="W10" s="212"/>
      <c r="X10" s="212"/>
      <c r="Y10" s="224">
        <f t="shared" si="10"/>
        <v>0</v>
      </c>
      <c r="Z10" s="230">
        <f t="shared" si="11"/>
        <v>0</v>
      </c>
      <c r="AA10" s="212"/>
      <c r="AB10" s="212"/>
      <c r="AC10" s="212"/>
      <c r="AD10" s="212"/>
      <c r="AE10" s="224">
        <f t="shared" si="12"/>
        <v>0</v>
      </c>
      <c r="AF10" s="230">
        <f t="shared" si="13"/>
        <v>0</v>
      </c>
    </row>
    <row r="11" spans="1:44" ht="21" customHeight="1" x14ac:dyDescent="0.25">
      <c r="A11" s="222">
        <v>4</v>
      </c>
      <c r="B11" s="223" t="s">
        <v>177</v>
      </c>
      <c r="C11" s="212"/>
      <c r="D11" s="239"/>
      <c r="E11" s="239"/>
      <c r="F11" s="239"/>
      <c r="G11" s="224">
        <f t="shared" si="0"/>
        <v>0</v>
      </c>
      <c r="H11" s="230">
        <f t="shared" si="1"/>
        <v>0</v>
      </c>
      <c r="I11" s="212"/>
      <c r="J11" s="239"/>
      <c r="K11" s="239"/>
      <c r="L11" s="239"/>
      <c r="M11" s="224">
        <f t="shared" si="2"/>
        <v>0</v>
      </c>
      <c r="N11" s="230">
        <f t="shared" si="3"/>
        <v>0</v>
      </c>
      <c r="O11" s="224">
        <f t="shared" si="4"/>
        <v>0</v>
      </c>
      <c r="P11" s="224">
        <f t="shared" si="5"/>
        <v>0</v>
      </c>
      <c r="Q11" s="224">
        <f t="shared" si="6"/>
        <v>0</v>
      </c>
      <c r="R11" s="224">
        <f t="shared" si="7"/>
        <v>0</v>
      </c>
      <c r="S11" s="224">
        <f t="shared" si="8"/>
        <v>0</v>
      </c>
      <c r="T11" s="230">
        <f t="shared" si="9"/>
        <v>0</v>
      </c>
      <c r="U11" s="212"/>
      <c r="V11" s="212"/>
      <c r="W11" s="212"/>
      <c r="X11" s="212"/>
      <c r="Y11" s="224">
        <f t="shared" si="10"/>
        <v>0</v>
      </c>
      <c r="Z11" s="230">
        <f t="shared" si="11"/>
        <v>0</v>
      </c>
      <c r="AA11" s="212"/>
      <c r="AB11" s="212"/>
      <c r="AC11" s="212"/>
      <c r="AD11" s="212"/>
      <c r="AE11" s="224">
        <f t="shared" si="12"/>
        <v>0</v>
      </c>
      <c r="AF11" s="230">
        <f t="shared" si="13"/>
        <v>0</v>
      </c>
    </row>
    <row r="12" spans="1:44" ht="19.5" customHeight="1" x14ac:dyDescent="0.25">
      <c r="A12" s="222">
        <v>5</v>
      </c>
      <c r="B12" s="223" t="s">
        <v>203</v>
      </c>
      <c r="C12" s="212"/>
      <c r="D12" s="239"/>
      <c r="E12" s="239"/>
      <c r="F12" s="239"/>
      <c r="G12" s="224">
        <f t="shared" si="0"/>
        <v>0</v>
      </c>
      <c r="H12" s="230">
        <f t="shared" si="1"/>
        <v>0</v>
      </c>
      <c r="I12" s="212"/>
      <c r="J12" s="239"/>
      <c r="K12" s="239"/>
      <c r="L12" s="239"/>
      <c r="M12" s="224">
        <f t="shared" si="2"/>
        <v>0</v>
      </c>
      <c r="N12" s="230">
        <f t="shared" si="3"/>
        <v>0</v>
      </c>
      <c r="O12" s="224">
        <f t="shared" si="4"/>
        <v>0</v>
      </c>
      <c r="P12" s="224">
        <f t="shared" si="5"/>
        <v>0</v>
      </c>
      <c r="Q12" s="224">
        <f t="shared" si="6"/>
        <v>0</v>
      </c>
      <c r="R12" s="224">
        <f t="shared" si="7"/>
        <v>0</v>
      </c>
      <c r="S12" s="224">
        <f t="shared" si="8"/>
        <v>0</v>
      </c>
      <c r="T12" s="230">
        <f t="shared" si="9"/>
        <v>0</v>
      </c>
      <c r="U12" s="212"/>
      <c r="V12" s="212"/>
      <c r="W12" s="212"/>
      <c r="X12" s="212"/>
      <c r="Y12" s="224">
        <f t="shared" si="10"/>
        <v>0</v>
      </c>
      <c r="Z12" s="230">
        <f t="shared" si="11"/>
        <v>0</v>
      </c>
      <c r="AA12" s="212"/>
      <c r="AB12" s="212"/>
      <c r="AC12" s="212"/>
      <c r="AD12" s="212"/>
      <c r="AE12" s="224">
        <f t="shared" si="12"/>
        <v>0</v>
      </c>
      <c r="AF12" s="230">
        <f t="shared" si="13"/>
        <v>0</v>
      </c>
    </row>
    <row r="13" spans="1:44" ht="28.5" customHeight="1" x14ac:dyDescent="0.25">
      <c r="A13" s="222">
        <v>6</v>
      </c>
      <c r="B13" s="223" t="s">
        <v>178</v>
      </c>
      <c r="C13" s="223"/>
      <c r="D13" s="239"/>
      <c r="E13" s="239"/>
      <c r="F13" s="239"/>
      <c r="G13" s="224">
        <f t="shared" si="0"/>
        <v>0</v>
      </c>
      <c r="H13" s="230">
        <f t="shared" si="1"/>
        <v>0</v>
      </c>
      <c r="I13" s="212"/>
      <c r="J13" s="239"/>
      <c r="K13" s="239"/>
      <c r="L13" s="239"/>
      <c r="M13" s="224">
        <f t="shared" si="2"/>
        <v>0</v>
      </c>
      <c r="N13" s="230">
        <f t="shared" si="3"/>
        <v>0</v>
      </c>
      <c r="O13" s="224">
        <f t="shared" si="4"/>
        <v>0</v>
      </c>
      <c r="P13" s="224">
        <f t="shared" si="5"/>
        <v>0</v>
      </c>
      <c r="Q13" s="224">
        <f t="shared" si="6"/>
        <v>0</v>
      </c>
      <c r="R13" s="224">
        <f t="shared" si="7"/>
        <v>0</v>
      </c>
      <c r="S13" s="224">
        <f t="shared" si="8"/>
        <v>0</v>
      </c>
      <c r="T13" s="230">
        <f t="shared" si="9"/>
        <v>0</v>
      </c>
      <c r="U13" s="212"/>
      <c r="V13" s="212"/>
      <c r="W13" s="212"/>
      <c r="X13" s="212"/>
      <c r="Y13" s="224">
        <f t="shared" si="10"/>
        <v>0</v>
      </c>
      <c r="Z13" s="230">
        <f t="shared" si="11"/>
        <v>0</v>
      </c>
      <c r="AA13" s="212"/>
      <c r="AB13" s="212"/>
      <c r="AC13" s="212"/>
      <c r="AD13" s="212"/>
      <c r="AE13" s="224">
        <f t="shared" si="12"/>
        <v>0</v>
      </c>
      <c r="AF13" s="230">
        <f t="shared" si="13"/>
        <v>0</v>
      </c>
    </row>
    <row r="14" spans="1:44" ht="28.5" customHeight="1" x14ac:dyDescent="0.25">
      <c r="A14" s="222">
        <v>7</v>
      </c>
      <c r="B14" s="223" t="s">
        <v>227</v>
      </c>
      <c r="C14" s="212">
        <v>120</v>
      </c>
      <c r="D14" s="239">
        <v>25958627</v>
      </c>
      <c r="E14" s="239">
        <v>824402</v>
      </c>
      <c r="F14" s="239"/>
      <c r="G14" s="224">
        <f t="shared" si="0"/>
        <v>26783029</v>
      </c>
      <c r="H14" s="230">
        <f t="shared" si="1"/>
        <v>348179377</v>
      </c>
      <c r="I14" s="212">
        <v>120</v>
      </c>
      <c r="J14" s="239">
        <v>25448026</v>
      </c>
      <c r="K14" s="239">
        <v>811240</v>
      </c>
      <c r="L14" s="239"/>
      <c r="M14" s="224">
        <f t="shared" si="2"/>
        <v>26259266</v>
      </c>
      <c r="N14" s="230">
        <f t="shared" si="3"/>
        <v>341370458</v>
      </c>
      <c r="O14" s="224">
        <f t="shared" si="4"/>
        <v>0</v>
      </c>
      <c r="P14" s="224">
        <f t="shared" si="5"/>
        <v>510601</v>
      </c>
      <c r="Q14" s="224">
        <f t="shared" si="6"/>
        <v>13162</v>
      </c>
      <c r="R14" s="224">
        <f t="shared" si="7"/>
        <v>0</v>
      </c>
      <c r="S14" s="224">
        <f t="shared" si="8"/>
        <v>523763</v>
      </c>
      <c r="T14" s="230">
        <f t="shared" si="9"/>
        <v>6808919</v>
      </c>
      <c r="U14" s="212">
        <v>120</v>
      </c>
      <c r="V14" s="212">
        <v>26132575</v>
      </c>
      <c r="W14" s="212">
        <v>875197</v>
      </c>
      <c r="X14" s="212"/>
      <c r="Y14" s="224">
        <f t="shared" si="10"/>
        <v>27007772</v>
      </c>
      <c r="Z14" s="230">
        <f t="shared" si="11"/>
        <v>351101036</v>
      </c>
      <c r="AA14" s="212">
        <v>120</v>
      </c>
      <c r="AB14" s="212">
        <v>26353483</v>
      </c>
      <c r="AC14" s="212">
        <v>883597</v>
      </c>
      <c r="AD14" s="212"/>
      <c r="AE14" s="224">
        <f t="shared" si="12"/>
        <v>27237080</v>
      </c>
      <c r="AF14" s="230">
        <f t="shared" si="13"/>
        <v>354082040</v>
      </c>
    </row>
    <row r="15" spans="1:44" ht="20.25" customHeight="1" x14ac:dyDescent="0.25">
      <c r="A15" s="222">
        <v>8</v>
      </c>
      <c r="B15" s="223" t="s">
        <v>172</v>
      </c>
      <c r="C15" s="212"/>
      <c r="D15" s="239"/>
      <c r="E15" s="239"/>
      <c r="F15" s="239"/>
      <c r="G15" s="224">
        <f t="shared" si="0"/>
        <v>0</v>
      </c>
      <c r="H15" s="230">
        <f t="shared" si="1"/>
        <v>0</v>
      </c>
      <c r="I15" s="212"/>
      <c r="J15" s="239"/>
      <c r="K15" s="239"/>
      <c r="L15" s="239"/>
      <c r="M15" s="224">
        <f t="shared" si="2"/>
        <v>0</v>
      </c>
      <c r="N15" s="230">
        <f t="shared" si="3"/>
        <v>0</v>
      </c>
      <c r="O15" s="224">
        <f t="shared" si="4"/>
        <v>0</v>
      </c>
      <c r="P15" s="224">
        <f t="shared" si="5"/>
        <v>0</v>
      </c>
      <c r="Q15" s="224">
        <f t="shared" si="6"/>
        <v>0</v>
      </c>
      <c r="R15" s="224">
        <f t="shared" si="7"/>
        <v>0</v>
      </c>
      <c r="S15" s="224">
        <f t="shared" si="8"/>
        <v>0</v>
      </c>
      <c r="T15" s="230">
        <f t="shared" si="9"/>
        <v>0</v>
      </c>
      <c r="U15" s="212"/>
      <c r="V15" s="212"/>
      <c r="W15" s="212"/>
      <c r="X15" s="212"/>
      <c r="Y15" s="224">
        <f t="shared" si="10"/>
        <v>0</v>
      </c>
      <c r="Z15" s="230">
        <f t="shared" si="11"/>
        <v>0</v>
      </c>
      <c r="AA15" s="212"/>
      <c r="AB15" s="212"/>
      <c r="AC15" s="212"/>
      <c r="AD15" s="212"/>
      <c r="AE15" s="224">
        <f t="shared" si="12"/>
        <v>0</v>
      </c>
      <c r="AF15" s="230">
        <f t="shared" si="13"/>
        <v>0</v>
      </c>
    </row>
    <row r="16" spans="1:44" ht="20.25" customHeight="1" x14ac:dyDescent="0.25">
      <c r="A16" s="222">
        <v>9</v>
      </c>
      <c r="B16" s="223" t="s">
        <v>180</v>
      </c>
      <c r="C16" s="212"/>
      <c r="D16" s="239"/>
      <c r="E16" s="239"/>
      <c r="F16" s="239"/>
      <c r="G16" s="224">
        <f t="shared" si="0"/>
        <v>0</v>
      </c>
      <c r="H16" s="230">
        <f t="shared" si="1"/>
        <v>0</v>
      </c>
      <c r="I16" s="212"/>
      <c r="J16" s="239"/>
      <c r="K16" s="239"/>
      <c r="L16" s="239"/>
      <c r="M16" s="224">
        <f t="shared" si="2"/>
        <v>0</v>
      </c>
      <c r="N16" s="230">
        <f t="shared" si="3"/>
        <v>0</v>
      </c>
      <c r="O16" s="224">
        <f t="shared" si="4"/>
        <v>0</v>
      </c>
      <c r="P16" s="224">
        <f t="shared" si="5"/>
        <v>0</v>
      </c>
      <c r="Q16" s="224">
        <f t="shared" si="6"/>
        <v>0</v>
      </c>
      <c r="R16" s="224">
        <f t="shared" si="7"/>
        <v>0</v>
      </c>
      <c r="S16" s="224">
        <f t="shared" si="8"/>
        <v>0</v>
      </c>
      <c r="T16" s="230">
        <f t="shared" si="9"/>
        <v>0</v>
      </c>
      <c r="U16" s="212"/>
      <c r="V16" s="212"/>
      <c r="W16" s="212"/>
      <c r="X16" s="212"/>
      <c r="Y16" s="224">
        <f t="shared" si="10"/>
        <v>0</v>
      </c>
      <c r="Z16" s="230">
        <f t="shared" si="11"/>
        <v>0</v>
      </c>
      <c r="AA16" s="212"/>
      <c r="AB16" s="212"/>
      <c r="AC16" s="212"/>
      <c r="AD16" s="212"/>
      <c r="AE16" s="224">
        <f t="shared" si="12"/>
        <v>0</v>
      </c>
      <c r="AF16" s="230">
        <f t="shared" si="13"/>
        <v>0</v>
      </c>
    </row>
    <row r="17" spans="1:32" ht="20.25" customHeight="1" x14ac:dyDescent="0.25">
      <c r="A17" s="222">
        <v>10</v>
      </c>
      <c r="B17" s="223" t="s">
        <v>181</v>
      </c>
      <c r="C17" s="212"/>
      <c r="D17" s="239"/>
      <c r="E17" s="239"/>
      <c r="F17" s="239"/>
      <c r="G17" s="224">
        <f t="shared" si="0"/>
        <v>0</v>
      </c>
      <c r="H17" s="230">
        <f t="shared" si="1"/>
        <v>0</v>
      </c>
      <c r="I17" s="212"/>
      <c r="J17" s="239"/>
      <c r="K17" s="239"/>
      <c r="L17" s="239"/>
      <c r="M17" s="224">
        <f t="shared" si="2"/>
        <v>0</v>
      </c>
      <c r="N17" s="230">
        <f t="shared" si="3"/>
        <v>0</v>
      </c>
      <c r="O17" s="224">
        <f t="shared" si="4"/>
        <v>0</v>
      </c>
      <c r="P17" s="224">
        <f t="shared" si="5"/>
        <v>0</v>
      </c>
      <c r="Q17" s="224">
        <f t="shared" si="6"/>
        <v>0</v>
      </c>
      <c r="R17" s="224">
        <f t="shared" si="7"/>
        <v>0</v>
      </c>
      <c r="S17" s="224">
        <f t="shared" si="8"/>
        <v>0</v>
      </c>
      <c r="T17" s="230">
        <f t="shared" si="9"/>
        <v>0</v>
      </c>
      <c r="U17" s="212"/>
      <c r="V17" s="212"/>
      <c r="W17" s="212"/>
      <c r="X17" s="212"/>
      <c r="Y17" s="224">
        <f t="shared" si="10"/>
        <v>0</v>
      </c>
      <c r="Z17" s="230">
        <f t="shared" si="11"/>
        <v>0</v>
      </c>
      <c r="AA17" s="212"/>
      <c r="AB17" s="212"/>
      <c r="AC17" s="212"/>
      <c r="AD17" s="212"/>
      <c r="AE17" s="224">
        <f t="shared" si="12"/>
        <v>0</v>
      </c>
      <c r="AF17" s="230">
        <f t="shared" si="13"/>
        <v>0</v>
      </c>
    </row>
    <row r="18" spans="1:32" ht="20.25" customHeight="1" x14ac:dyDescent="0.25">
      <c r="A18" s="222">
        <v>11</v>
      </c>
      <c r="B18" s="223" t="s">
        <v>182</v>
      </c>
      <c r="C18" s="212"/>
      <c r="D18" s="239"/>
      <c r="E18" s="239"/>
      <c r="F18" s="239"/>
      <c r="G18" s="224">
        <f t="shared" si="0"/>
        <v>0</v>
      </c>
      <c r="H18" s="230">
        <f t="shared" si="1"/>
        <v>0</v>
      </c>
      <c r="I18" s="212"/>
      <c r="J18" s="239"/>
      <c r="K18" s="239"/>
      <c r="L18" s="239"/>
      <c r="M18" s="224">
        <f t="shared" si="2"/>
        <v>0</v>
      </c>
      <c r="N18" s="230">
        <f t="shared" si="3"/>
        <v>0</v>
      </c>
      <c r="O18" s="224">
        <f t="shared" si="4"/>
        <v>0</v>
      </c>
      <c r="P18" s="224">
        <f t="shared" si="5"/>
        <v>0</v>
      </c>
      <c r="Q18" s="224">
        <f t="shared" si="6"/>
        <v>0</v>
      </c>
      <c r="R18" s="224">
        <f t="shared" si="7"/>
        <v>0</v>
      </c>
      <c r="S18" s="224">
        <f t="shared" si="8"/>
        <v>0</v>
      </c>
      <c r="T18" s="230">
        <f t="shared" si="9"/>
        <v>0</v>
      </c>
      <c r="U18" s="212"/>
      <c r="V18" s="212"/>
      <c r="W18" s="212"/>
      <c r="X18" s="212"/>
      <c r="Y18" s="224">
        <f t="shared" si="10"/>
        <v>0</v>
      </c>
      <c r="Z18" s="230">
        <f t="shared" si="11"/>
        <v>0</v>
      </c>
      <c r="AA18" s="212"/>
      <c r="AB18" s="212"/>
      <c r="AC18" s="212"/>
      <c r="AD18" s="212"/>
      <c r="AE18" s="224">
        <f t="shared" si="12"/>
        <v>0</v>
      </c>
      <c r="AF18" s="230">
        <f t="shared" si="13"/>
        <v>0</v>
      </c>
    </row>
    <row r="19" spans="1:32" ht="54" x14ac:dyDescent="0.25">
      <c r="A19" s="222">
        <v>13</v>
      </c>
      <c r="B19" s="223" t="s">
        <v>323</v>
      </c>
      <c r="C19" s="212">
        <v>6</v>
      </c>
      <c r="D19" s="239">
        <v>499355</v>
      </c>
      <c r="E19" s="239"/>
      <c r="F19" s="239"/>
      <c r="G19" s="224">
        <f t="shared" si="0"/>
        <v>499355</v>
      </c>
      <c r="H19" s="230">
        <f>G19*12</f>
        <v>5992260</v>
      </c>
      <c r="I19" s="212">
        <v>6</v>
      </c>
      <c r="J19" s="239">
        <v>499355</v>
      </c>
      <c r="K19" s="239"/>
      <c r="L19" s="239"/>
      <c r="M19" s="224">
        <f t="shared" si="2"/>
        <v>499355</v>
      </c>
      <c r="N19" s="230">
        <f>M19*12</f>
        <v>5992260</v>
      </c>
      <c r="O19" s="224">
        <f t="shared" si="4"/>
        <v>0</v>
      </c>
      <c r="P19" s="224">
        <f t="shared" si="5"/>
        <v>0</v>
      </c>
      <c r="Q19" s="224">
        <f t="shared" si="6"/>
        <v>0</v>
      </c>
      <c r="R19" s="224">
        <f t="shared" si="7"/>
        <v>0</v>
      </c>
      <c r="S19" s="224">
        <f t="shared" si="8"/>
        <v>0</v>
      </c>
      <c r="T19" s="230">
        <f t="shared" si="9"/>
        <v>0</v>
      </c>
      <c r="U19" s="212">
        <v>6</v>
      </c>
      <c r="V19" s="212">
        <v>499355</v>
      </c>
      <c r="W19" s="212"/>
      <c r="X19" s="212"/>
      <c r="Y19" s="224">
        <f t="shared" si="10"/>
        <v>499355</v>
      </c>
      <c r="Z19" s="230">
        <f>Y19*12</f>
        <v>5992260</v>
      </c>
      <c r="AA19" s="212">
        <v>6</v>
      </c>
      <c r="AB19" s="212">
        <v>499355</v>
      </c>
      <c r="AC19" s="212"/>
      <c r="AD19" s="212"/>
      <c r="AE19" s="224">
        <f t="shared" si="12"/>
        <v>499355</v>
      </c>
      <c r="AF19" s="230">
        <f>AE19*12</f>
        <v>5992260</v>
      </c>
    </row>
    <row r="20" spans="1:32" ht="38.25" customHeight="1" x14ac:dyDescent="0.25">
      <c r="A20" s="222"/>
      <c r="B20" s="29" t="s">
        <v>170</v>
      </c>
      <c r="C20" s="224">
        <f t="shared" ref="C20:AF20" si="14">SUM(C8:C19)</f>
        <v>137</v>
      </c>
      <c r="D20" s="224">
        <f t="shared" si="14"/>
        <v>30525592</v>
      </c>
      <c r="E20" s="224">
        <f t="shared" si="14"/>
        <v>824402</v>
      </c>
      <c r="F20" s="224">
        <f>SUM(F8:F19)</f>
        <v>0</v>
      </c>
      <c r="G20" s="224">
        <f t="shared" si="14"/>
        <v>31349994</v>
      </c>
      <c r="H20" s="230">
        <f t="shared" si="14"/>
        <v>407050567</v>
      </c>
      <c r="I20" s="224">
        <f t="shared" si="14"/>
        <v>137</v>
      </c>
      <c r="J20" s="224">
        <f t="shared" si="14"/>
        <v>30014991</v>
      </c>
      <c r="K20" s="224">
        <f t="shared" si="14"/>
        <v>811240</v>
      </c>
      <c r="L20" s="224">
        <f t="shared" si="14"/>
        <v>0</v>
      </c>
      <c r="M20" s="224">
        <f t="shared" si="14"/>
        <v>30826231</v>
      </c>
      <c r="N20" s="230">
        <f t="shared" ref="N20:T20" si="15">SUM(N8:N19)</f>
        <v>400241648</v>
      </c>
      <c r="O20" s="224">
        <f t="shared" si="15"/>
        <v>0</v>
      </c>
      <c r="P20" s="224">
        <f t="shared" si="15"/>
        <v>510601</v>
      </c>
      <c r="Q20" s="224">
        <f t="shared" si="15"/>
        <v>13162</v>
      </c>
      <c r="R20" s="224">
        <f t="shared" si="15"/>
        <v>0</v>
      </c>
      <c r="S20" s="224">
        <f t="shared" si="15"/>
        <v>523763</v>
      </c>
      <c r="T20" s="230">
        <f t="shared" si="15"/>
        <v>6808919</v>
      </c>
      <c r="U20" s="224">
        <f t="shared" si="14"/>
        <v>137</v>
      </c>
      <c r="V20" s="224">
        <f t="shared" si="14"/>
        <v>30699540</v>
      </c>
      <c r="W20" s="224">
        <f t="shared" si="14"/>
        <v>875197</v>
      </c>
      <c r="X20" s="224">
        <f t="shared" si="14"/>
        <v>0</v>
      </c>
      <c r="Y20" s="224">
        <f t="shared" si="14"/>
        <v>31574737</v>
      </c>
      <c r="Z20" s="230">
        <f t="shared" si="14"/>
        <v>409972226</v>
      </c>
      <c r="AA20" s="224">
        <f t="shared" si="14"/>
        <v>137</v>
      </c>
      <c r="AB20" s="224">
        <f t="shared" si="14"/>
        <v>30920448</v>
      </c>
      <c r="AC20" s="224">
        <f t="shared" si="14"/>
        <v>883597</v>
      </c>
      <c r="AD20" s="224">
        <f t="shared" si="14"/>
        <v>0</v>
      </c>
      <c r="AE20" s="224">
        <f t="shared" si="14"/>
        <v>31804045</v>
      </c>
      <c r="AF20" s="230">
        <f t="shared" si="14"/>
        <v>412953230</v>
      </c>
    </row>
    <row r="21" spans="1:32" ht="36.950000000000003" customHeight="1" x14ac:dyDescent="0.25">
      <c r="C21" s="5"/>
      <c r="I21" s="5"/>
      <c r="U21" s="5"/>
      <c r="V21" s="5"/>
      <c r="W21" s="5"/>
      <c r="X21" s="5"/>
      <c r="AA21" s="5"/>
      <c r="AB21" s="5"/>
      <c r="AC21" s="5"/>
      <c r="AD21" s="5"/>
    </row>
  </sheetData>
  <mergeCells count="1">
    <mergeCell ref="I5:M5"/>
  </mergeCells>
  <phoneticPr fontId="2" type="noConversion"/>
  <pageMargins left="0.27" right="0.17" top="0.23" bottom="0.26" header="0.17" footer="0.16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11" sqref="B11"/>
    </sheetView>
  </sheetViews>
  <sheetFormatPr defaultRowHeight="13.5" x14ac:dyDescent="0.25"/>
  <cols>
    <col min="1" max="1" width="9.140625" style="5"/>
    <col min="2" max="2" width="39.42578125" style="5" customWidth="1"/>
    <col min="3" max="9" width="14.140625" style="5" customWidth="1"/>
    <col min="10" max="16384" width="9.140625" style="5"/>
  </cols>
  <sheetData>
    <row r="1" spans="1:9" x14ac:dyDescent="0.25">
      <c r="H1" s="124" t="s">
        <v>328</v>
      </c>
    </row>
    <row r="2" spans="1:9" x14ac:dyDescent="0.25">
      <c r="H2" s="332" t="s">
        <v>11</v>
      </c>
    </row>
    <row r="6" spans="1:9" ht="20.25" x14ac:dyDescent="0.3">
      <c r="A6" s="454"/>
      <c r="B6" s="611" t="s">
        <v>371</v>
      </c>
      <c r="C6" s="611"/>
      <c r="D6" s="611"/>
      <c r="E6" s="611"/>
      <c r="F6" s="611"/>
      <c r="G6" s="611"/>
      <c r="H6" s="611"/>
      <c r="I6" s="611"/>
    </row>
    <row r="8" spans="1:9" ht="17.25" x14ac:dyDescent="0.3">
      <c r="A8" s="448"/>
      <c r="B8" s="449" t="s">
        <v>1152</v>
      </c>
      <c r="C8" s="450"/>
      <c r="D8" s="450"/>
      <c r="E8" s="450"/>
      <c r="F8" s="450"/>
      <c r="G8" s="450"/>
      <c r="H8" s="450"/>
      <c r="I8" s="450"/>
    </row>
    <row r="9" spans="1:9" ht="17.25" x14ac:dyDescent="0.3">
      <c r="A9" s="451"/>
      <c r="B9" s="452" t="s">
        <v>329</v>
      </c>
      <c r="C9" s="453"/>
      <c r="D9" s="453"/>
      <c r="E9" s="453"/>
      <c r="F9" s="453"/>
      <c r="G9" s="453"/>
      <c r="H9" s="453"/>
      <c r="I9" s="453"/>
    </row>
    <row r="10" spans="1:9" ht="16.5" x14ac:dyDescent="0.3">
      <c r="A10" s="454"/>
      <c r="B10" s="454"/>
      <c r="C10" s="454"/>
      <c r="D10" s="454"/>
      <c r="E10" s="454"/>
      <c r="F10" s="454"/>
      <c r="G10" s="454"/>
      <c r="H10" s="455" t="s">
        <v>330</v>
      </c>
      <c r="I10" s="454"/>
    </row>
    <row r="11" spans="1:9" ht="69" x14ac:dyDescent="0.25">
      <c r="A11" s="456" t="s">
        <v>8</v>
      </c>
      <c r="B11" s="456" t="s">
        <v>331</v>
      </c>
      <c r="C11" s="456" t="s">
        <v>96</v>
      </c>
      <c r="D11" s="456" t="s">
        <v>332</v>
      </c>
      <c r="E11" s="456" t="s">
        <v>333</v>
      </c>
      <c r="F11" s="456" t="s">
        <v>334</v>
      </c>
      <c r="G11" s="456" t="s">
        <v>335</v>
      </c>
      <c r="H11" s="456" t="s">
        <v>370</v>
      </c>
      <c r="I11" s="456" t="s">
        <v>336</v>
      </c>
    </row>
    <row r="12" spans="1:9" ht="34.5" x14ac:dyDescent="0.3">
      <c r="A12" s="457" t="s">
        <v>337</v>
      </c>
      <c r="B12" s="458" t="s">
        <v>372</v>
      </c>
      <c r="C12" s="459">
        <f>+C13+C14+C15+C16</f>
        <v>0</v>
      </c>
      <c r="D12" s="459">
        <v>520263.6</v>
      </c>
      <c r="E12" s="459">
        <f>+E13+E14+E15+E16</f>
        <v>0</v>
      </c>
      <c r="F12" s="459">
        <f>+F13+F14+F15+F16</f>
        <v>0</v>
      </c>
      <c r="G12" s="459">
        <f>+G13+G14+G15+G16</f>
        <v>0</v>
      </c>
      <c r="H12" s="459">
        <f>+H13+H14+H15+H16</f>
        <v>0</v>
      </c>
      <c r="I12" s="459">
        <f>+I13+I14+I15+I16</f>
        <v>0</v>
      </c>
    </row>
    <row r="13" spans="1:9" ht="17.25" x14ac:dyDescent="0.3">
      <c r="A13" s="460"/>
      <c r="B13" s="461" t="s">
        <v>338</v>
      </c>
      <c r="C13" s="459"/>
      <c r="D13" s="459">
        <v>520263.6</v>
      </c>
      <c r="E13" s="459"/>
      <c r="F13" s="459"/>
      <c r="G13" s="459"/>
      <c r="H13" s="459"/>
      <c r="I13" s="459"/>
    </row>
    <row r="14" spans="1:9" ht="17.25" x14ac:dyDescent="0.3">
      <c r="A14" s="460"/>
      <c r="B14" s="461" t="s">
        <v>339</v>
      </c>
      <c r="C14" s="459"/>
      <c r="D14" s="459"/>
      <c r="E14" s="459"/>
      <c r="F14" s="459"/>
      <c r="G14" s="459"/>
      <c r="H14" s="459"/>
      <c r="I14" s="459"/>
    </row>
    <row r="15" spans="1:9" ht="17.25" x14ac:dyDescent="0.3">
      <c r="A15" s="460"/>
      <c r="B15" s="461" t="s">
        <v>340</v>
      </c>
      <c r="C15" s="459"/>
      <c r="D15" s="459"/>
      <c r="E15" s="459"/>
      <c r="F15" s="459"/>
      <c r="G15" s="459"/>
      <c r="H15" s="459"/>
      <c r="I15" s="459"/>
    </row>
    <row r="16" spans="1:9" ht="17.25" x14ac:dyDescent="0.3">
      <c r="A16" s="460"/>
      <c r="B16" s="461" t="s">
        <v>341</v>
      </c>
      <c r="C16" s="459"/>
      <c r="D16" s="459"/>
      <c r="E16" s="459"/>
      <c r="F16" s="459"/>
      <c r="G16" s="459"/>
      <c r="H16" s="459"/>
      <c r="I16" s="459"/>
    </row>
    <row r="17" spans="1:9" ht="34.5" x14ac:dyDescent="0.3">
      <c r="A17" s="457" t="s">
        <v>342</v>
      </c>
      <c r="B17" s="458" t="s">
        <v>366</v>
      </c>
      <c r="C17" s="459"/>
      <c r="D17" s="459">
        <v>520263.6</v>
      </c>
      <c r="E17" s="459"/>
      <c r="F17" s="459"/>
      <c r="G17" s="459"/>
      <c r="H17" s="459"/>
      <c r="I17" s="459"/>
    </row>
    <row r="18" spans="1:9" ht="17.25" x14ac:dyDescent="0.3">
      <c r="A18" s="457">
        <v>1</v>
      </c>
      <c r="B18" s="462" t="s">
        <v>343</v>
      </c>
      <c r="C18" s="459">
        <f t="shared" ref="C18:I18" si="0">+C20+C21</f>
        <v>0</v>
      </c>
      <c r="D18" s="459">
        <f t="shared" si="0"/>
        <v>137</v>
      </c>
      <c r="E18" s="459">
        <f t="shared" si="0"/>
        <v>0</v>
      </c>
      <c r="F18" s="459">
        <f t="shared" si="0"/>
        <v>0</v>
      </c>
      <c r="G18" s="459">
        <f t="shared" si="0"/>
        <v>0</v>
      </c>
      <c r="H18" s="459">
        <f t="shared" si="0"/>
        <v>0</v>
      </c>
      <c r="I18" s="459">
        <f t="shared" si="0"/>
        <v>0</v>
      </c>
    </row>
    <row r="19" spans="1:9" ht="17.25" x14ac:dyDescent="0.3">
      <c r="A19" s="463"/>
      <c r="B19" s="464" t="s">
        <v>344</v>
      </c>
      <c r="C19" s="465"/>
      <c r="D19" s="465"/>
      <c r="E19" s="465"/>
      <c r="F19" s="465"/>
      <c r="G19" s="465"/>
      <c r="H19" s="465"/>
      <c r="I19" s="465"/>
    </row>
    <row r="20" spans="1:9" ht="17.25" x14ac:dyDescent="0.3">
      <c r="A20" s="466" t="s">
        <v>345</v>
      </c>
      <c r="B20" s="467" t="s">
        <v>346</v>
      </c>
      <c r="C20" s="459"/>
      <c r="D20" s="459">
        <v>137</v>
      </c>
      <c r="E20" s="459"/>
      <c r="F20" s="459"/>
      <c r="G20" s="459"/>
      <c r="H20" s="459"/>
      <c r="I20" s="459"/>
    </row>
    <row r="21" spans="1:9" ht="34.5" x14ac:dyDescent="0.3">
      <c r="A21" s="466" t="s">
        <v>347</v>
      </c>
      <c r="B21" s="467" t="s">
        <v>348</v>
      </c>
      <c r="C21" s="459"/>
      <c r="D21" s="459"/>
      <c r="E21" s="459"/>
      <c r="F21" s="459"/>
      <c r="G21" s="459"/>
      <c r="H21" s="459"/>
      <c r="I21" s="459"/>
    </row>
    <row r="22" spans="1:9" ht="51.75" x14ac:dyDescent="0.3">
      <c r="A22" s="457">
        <v>2</v>
      </c>
      <c r="B22" s="462" t="s">
        <v>349</v>
      </c>
      <c r="C22" s="459">
        <f t="shared" ref="C22:I22" si="1">+C24+C27+C28</f>
        <v>0</v>
      </c>
      <c r="D22" s="459">
        <f t="shared" si="1"/>
        <v>17</v>
      </c>
      <c r="E22" s="459">
        <f t="shared" si="1"/>
        <v>0</v>
      </c>
      <c r="F22" s="459">
        <f t="shared" si="1"/>
        <v>0</v>
      </c>
      <c r="G22" s="459">
        <f t="shared" si="1"/>
        <v>0</v>
      </c>
      <c r="H22" s="459">
        <f t="shared" si="1"/>
        <v>0</v>
      </c>
      <c r="I22" s="459">
        <f t="shared" si="1"/>
        <v>0</v>
      </c>
    </row>
    <row r="23" spans="1:9" ht="17.25" x14ac:dyDescent="0.3">
      <c r="A23" s="463"/>
      <c r="B23" s="464" t="s">
        <v>344</v>
      </c>
      <c r="C23" s="465"/>
      <c r="D23" s="465"/>
      <c r="E23" s="465"/>
      <c r="F23" s="465"/>
      <c r="G23" s="465"/>
      <c r="H23" s="465"/>
      <c r="I23" s="465"/>
    </row>
    <row r="24" spans="1:9" ht="40.5" x14ac:dyDescent="0.3">
      <c r="A24" s="72" t="s">
        <v>350</v>
      </c>
      <c r="B24" s="263" t="s">
        <v>367</v>
      </c>
      <c r="C24" s="465">
        <f t="shared" ref="C24:I24" si="2">+C25+C26</f>
        <v>0</v>
      </c>
      <c r="D24" s="465">
        <f t="shared" si="2"/>
        <v>6</v>
      </c>
      <c r="E24" s="465">
        <f t="shared" si="2"/>
        <v>0</v>
      </c>
      <c r="F24" s="465">
        <f t="shared" si="2"/>
        <v>0</v>
      </c>
      <c r="G24" s="465">
        <f t="shared" si="2"/>
        <v>0</v>
      </c>
      <c r="H24" s="465">
        <f t="shared" si="2"/>
        <v>0</v>
      </c>
      <c r="I24" s="465">
        <f t="shared" si="2"/>
        <v>0</v>
      </c>
    </row>
    <row r="25" spans="1:9" ht="17.25" x14ac:dyDescent="0.3">
      <c r="A25" s="72" t="s">
        <v>368</v>
      </c>
      <c r="B25" s="263" t="s">
        <v>351</v>
      </c>
      <c r="C25" s="459"/>
      <c r="D25" s="459">
        <v>4</v>
      </c>
      <c r="E25" s="459"/>
      <c r="F25" s="459"/>
      <c r="G25" s="459"/>
      <c r="H25" s="459"/>
      <c r="I25" s="459"/>
    </row>
    <row r="26" spans="1:9" ht="27" x14ac:dyDescent="0.3">
      <c r="A26" s="72" t="s">
        <v>369</v>
      </c>
      <c r="B26" s="263" t="s">
        <v>356</v>
      </c>
      <c r="C26" s="459"/>
      <c r="D26" s="459">
        <v>2</v>
      </c>
      <c r="E26" s="459"/>
      <c r="F26" s="459"/>
      <c r="G26" s="459"/>
      <c r="H26" s="459"/>
      <c r="I26" s="459"/>
    </row>
    <row r="27" spans="1:9" ht="40.5" x14ac:dyDescent="0.3">
      <c r="A27" s="72" t="s">
        <v>352</v>
      </c>
      <c r="B27" s="263" t="s">
        <v>353</v>
      </c>
      <c r="C27" s="459"/>
      <c r="D27" s="459">
        <v>7</v>
      </c>
      <c r="E27" s="459"/>
      <c r="F27" s="459"/>
      <c r="G27" s="459"/>
      <c r="H27" s="459"/>
      <c r="I27" s="459"/>
    </row>
    <row r="28" spans="1:9" ht="40.5" x14ac:dyDescent="0.3">
      <c r="A28" s="72" t="s">
        <v>354</v>
      </c>
      <c r="B28" s="263" t="s">
        <v>355</v>
      </c>
      <c r="C28" s="459"/>
      <c r="D28" s="459">
        <v>4</v>
      </c>
      <c r="E28" s="459"/>
      <c r="F28" s="459"/>
      <c r="G28" s="459"/>
      <c r="H28" s="459"/>
      <c r="I28" s="459"/>
    </row>
    <row r="29" spans="1:9" ht="51.75" x14ac:dyDescent="0.3">
      <c r="A29" s="457">
        <v>3</v>
      </c>
      <c r="B29" s="462" t="s">
        <v>357</v>
      </c>
      <c r="C29" s="459"/>
      <c r="D29" s="459">
        <v>269.3</v>
      </c>
      <c r="E29" s="459"/>
      <c r="F29" s="459"/>
      <c r="G29" s="459"/>
      <c r="H29" s="459"/>
      <c r="I29" s="459"/>
    </row>
    <row r="30" spans="1:9" ht="34.5" x14ac:dyDescent="0.3">
      <c r="A30" s="457">
        <v>4</v>
      </c>
      <c r="B30" s="462" t="s">
        <v>358</v>
      </c>
      <c r="C30" s="459">
        <f>+C32+C33</f>
        <v>0</v>
      </c>
      <c r="D30" s="459">
        <f t="shared" ref="D30:I30" si="3">+D32+D33</f>
        <v>4821.3</v>
      </c>
      <c r="E30" s="459">
        <f t="shared" si="3"/>
        <v>0</v>
      </c>
      <c r="F30" s="459">
        <f t="shared" si="3"/>
        <v>0</v>
      </c>
      <c r="G30" s="459">
        <f t="shared" si="3"/>
        <v>0</v>
      </c>
      <c r="H30" s="459">
        <f t="shared" si="3"/>
        <v>0</v>
      </c>
      <c r="I30" s="459">
        <f t="shared" si="3"/>
        <v>0</v>
      </c>
    </row>
    <row r="31" spans="1:9" ht="17.25" x14ac:dyDescent="0.3">
      <c r="A31" s="463"/>
      <c r="B31" s="464" t="s">
        <v>344</v>
      </c>
      <c r="C31" s="465"/>
      <c r="D31" s="465"/>
      <c r="E31" s="465"/>
      <c r="F31" s="465"/>
      <c r="G31" s="465"/>
      <c r="H31" s="465"/>
      <c r="I31" s="465"/>
    </row>
    <row r="32" spans="1:9" ht="33" x14ac:dyDescent="0.3">
      <c r="A32" s="466" t="s">
        <v>359</v>
      </c>
      <c r="B32" s="468" t="s">
        <v>373</v>
      </c>
      <c r="C32" s="459"/>
      <c r="D32" s="459">
        <v>1368</v>
      </c>
      <c r="E32" s="459"/>
      <c r="F32" s="459"/>
      <c r="G32" s="459"/>
      <c r="H32" s="459"/>
      <c r="I32" s="459"/>
    </row>
    <row r="33" spans="1:9" ht="17.25" x14ac:dyDescent="0.3">
      <c r="A33" s="466">
        <v>4.2</v>
      </c>
      <c r="B33" s="468" t="s">
        <v>374</v>
      </c>
      <c r="C33" s="459"/>
      <c r="D33" s="459">
        <v>3453.3</v>
      </c>
      <c r="E33" s="459"/>
      <c r="F33" s="459"/>
      <c r="G33" s="459"/>
      <c r="H33" s="459"/>
      <c r="I33" s="459"/>
    </row>
    <row r="34" spans="1:9" ht="33" x14ac:dyDescent="0.3">
      <c r="A34" s="466" t="s">
        <v>360</v>
      </c>
      <c r="B34" s="468" t="s">
        <v>375</v>
      </c>
      <c r="C34" s="459"/>
      <c r="D34" s="459">
        <v>12233.3</v>
      </c>
      <c r="E34" s="459"/>
      <c r="F34" s="459"/>
      <c r="G34" s="459"/>
      <c r="H34" s="459"/>
      <c r="I34" s="459"/>
    </row>
    <row r="35" spans="1:9" ht="17.25" x14ac:dyDescent="0.3">
      <c r="A35" s="457">
        <v>5</v>
      </c>
      <c r="B35" s="462" t="s">
        <v>361</v>
      </c>
      <c r="C35" s="459">
        <f>+C37</f>
        <v>0</v>
      </c>
      <c r="D35" s="459">
        <f>D37+D38</f>
        <v>6</v>
      </c>
      <c r="E35" s="459">
        <f>+E37</f>
        <v>0</v>
      </c>
      <c r="F35" s="459">
        <f>+F37</f>
        <v>0</v>
      </c>
      <c r="G35" s="459">
        <f>+G37</f>
        <v>0</v>
      </c>
      <c r="H35" s="459">
        <f>+H37</f>
        <v>0</v>
      </c>
      <c r="I35" s="459">
        <f>+I37</f>
        <v>0</v>
      </c>
    </row>
    <row r="36" spans="1:9" ht="17.25" x14ac:dyDescent="0.3">
      <c r="A36" s="469"/>
      <c r="B36" s="464" t="s">
        <v>344</v>
      </c>
      <c r="C36" s="465"/>
      <c r="D36" s="465"/>
      <c r="E36" s="465"/>
      <c r="F36" s="465"/>
      <c r="G36" s="465"/>
      <c r="H36" s="465"/>
      <c r="I36" s="465"/>
    </row>
    <row r="37" spans="1:9" ht="33" x14ac:dyDescent="0.3">
      <c r="A37" s="466" t="s">
        <v>362</v>
      </c>
      <c r="B37" s="468" t="s">
        <v>363</v>
      </c>
      <c r="C37" s="459"/>
      <c r="D37" s="459">
        <v>5</v>
      </c>
      <c r="E37" s="459"/>
      <c r="F37" s="459"/>
      <c r="G37" s="459"/>
      <c r="H37" s="459"/>
      <c r="I37" s="459"/>
    </row>
    <row r="38" spans="1:9" ht="33" x14ac:dyDescent="0.3">
      <c r="A38" s="466" t="s">
        <v>364</v>
      </c>
      <c r="B38" s="468" t="s">
        <v>365</v>
      </c>
      <c r="C38" s="459"/>
      <c r="D38" s="459">
        <v>1</v>
      </c>
      <c r="E38" s="459"/>
      <c r="F38" s="459"/>
      <c r="G38" s="459"/>
      <c r="H38" s="459"/>
      <c r="I38" s="459"/>
    </row>
  </sheetData>
  <mergeCells count="1">
    <mergeCell ref="B6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D1" workbookViewId="0">
      <selection activeCell="D1" sqref="A1:M86"/>
    </sheetView>
  </sheetViews>
  <sheetFormatPr defaultRowHeight="13.5" x14ac:dyDescent="0.25"/>
  <cols>
    <col min="1" max="1" width="9.140625" style="20"/>
    <col min="2" max="2" width="12.28515625" style="20" customWidth="1"/>
    <col min="3" max="3" width="6.7109375" style="16" customWidth="1"/>
    <col min="4" max="4" width="45.5703125" style="203" customWidth="1"/>
    <col min="5" max="6" width="11.7109375" style="4" customWidth="1"/>
    <col min="7" max="7" width="11" style="4" customWidth="1"/>
    <col min="8" max="8" width="12.5703125" style="4" customWidth="1"/>
    <col min="9" max="9" width="14.7109375" style="4" customWidth="1"/>
    <col min="10" max="10" width="25.28515625" style="4" customWidth="1"/>
    <col min="11" max="12" width="11.140625" style="4" customWidth="1"/>
    <col min="13" max="13" width="9.28515625" style="4" customWidth="1"/>
    <col min="14" max="16384" width="9.140625" style="5"/>
  </cols>
  <sheetData>
    <row r="1" spans="1:13" ht="21.75" customHeight="1" x14ac:dyDescent="0.25">
      <c r="A1" s="32"/>
      <c r="B1" s="32"/>
      <c r="J1" s="40" t="s">
        <v>17</v>
      </c>
    </row>
    <row r="2" spans="1:13" s="32" customFormat="1" ht="25.5" customHeight="1" thickBot="1" x14ac:dyDescent="0.3">
      <c r="A2" s="564" t="s">
        <v>381</v>
      </c>
      <c r="B2" s="564"/>
      <c r="C2" s="564"/>
      <c r="D2" s="564"/>
      <c r="E2" s="564"/>
      <c r="F2" s="564"/>
      <c r="G2" s="564"/>
      <c r="H2" s="564"/>
      <c r="I2" s="24"/>
      <c r="J2" s="40" t="s">
        <v>11</v>
      </c>
      <c r="K2" s="9"/>
      <c r="L2" s="31"/>
      <c r="M2" s="31"/>
    </row>
    <row r="3" spans="1:13" s="409" customFormat="1" ht="16.5" x14ac:dyDescent="0.25">
      <c r="A3" s="435" t="s">
        <v>295</v>
      </c>
      <c r="B3" s="435">
        <v>1</v>
      </c>
      <c r="C3" s="407"/>
      <c r="D3" s="565"/>
      <c r="E3" s="565"/>
      <c r="F3" s="565"/>
      <c r="G3" s="565"/>
      <c r="H3" s="565"/>
      <c r="I3" s="565"/>
      <c r="J3" s="408"/>
      <c r="K3" s="410"/>
      <c r="L3" s="410"/>
    </row>
    <row r="4" spans="1:13" s="409" customFormat="1" ht="16.5" x14ac:dyDescent="0.25">
      <c r="A4" s="235" t="s">
        <v>296</v>
      </c>
      <c r="B4" s="235">
        <v>1</v>
      </c>
      <c r="C4" s="407"/>
      <c r="D4" s="414"/>
      <c r="E4" s="414"/>
      <c r="F4" s="414"/>
      <c r="G4" s="414"/>
      <c r="H4" s="414"/>
      <c r="I4" s="414"/>
      <c r="J4" s="408"/>
      <c r="K4" s="410"/>
      <c r="L4" s="410"/>
    </row>
    <row r="5" spans="1:13" s="32" customFormat="1" ht="14.25" x14ac:dyDescent="0.25">
      <c r="A5" s="235" t="s">
        <v>297</v>
      </c>
      <c r="B5" s="235">
        <v>1</v>
      </c>
      <c r="C5" s="50"/>
      <c r="D5" s="6"/>
      <c r="E5" s="24"/>
      <c r="F5" s="24"/>
      <c r="G5" s="24"/>
      <c r="H5" s="24"/>
      <c r="I5" s="24"/>
      <c r="J5" s="24"/>
      <c r="K5" s="9"/>
      <c r="L5" s="9"/>
      <c r="M5" s="31"/>
    </row>
    <row r="6" spans="1:13" s="16" customFormat="1" x14ac:dyDescent="0.25">
      <c r="A6" s="563"/>
      <c r="B6" s="563"/>
      <c r="C6" s="271"/>
      <c r="D6" s="295"/>
      <c r="E6" s="9"/>
      <c r="F6" s="9"/>
      <c r="H6" s="345" t="s">
        <v>230</v>
      </c>
      <c r="I6" s="344"/>
      <c r="K6" s="9"/>
      <c r="L6" s="9"/>
      <c r="M6" s="15"/>
    </row>
    <row r="7" spans="1:13" s="16" customFormat="1" x14ac:dyDescent="0.25">
      <c r="A7" s="555" t="s">
        <v>298</v>
      </c>
      <c r="B7" s="555"/>
      <c r="C7" s="561"/>
      <c r="D7" s="562"/>
      <c r="E7" s="54" t="s">
        <v>201</v>
      </c>
      <c r="F7" s="54" t="s">
        <v>210</v>
      </c>
      <c r="G7" s="56" t="s">
        <v>240</v>
      </c>
      <c r="H7" s="64"/>
      <c r="I7" s="64"/>
      <c r="J7" s="14"/>
      <c r="K7" s="559" t="s">
        <v>247</v>
      </c>
      <c r="L7" s="556" t="s">
        <v>280</v>
      </c>
      <c r="M7" s="15"/>
    </row>
    <row r="8" spans="1:13" s="16" customFormat="1" ht="63.75" x14ac:dyDescent="0.25">
      <c r="A8" s="418" t="s">
        <v>299</v>
      </c>
      <c r="B8" s="418" t="s">
        <v>300</v>
      </c>
      <c r="C8" s="364" t="s">
        <v>18</v>
      </c>
      <c r="D8" s="364" t="s">
        <v>248</v>
      </c>
      <c r="E8" s="14" t="s">
        <v>250</v>
      </c>
      <c r="F8" s="68" t="s">
        <v>13</v>
      </c>
      <c r="G8" s="14" t="s">
        <v>14</v>
      </c>
      <c r="H8" s="14" t="s">
        <v>281</v>
      </c>
      <c r="I8" s="14" t="s">
        <v>282</v>
      </c>
      <c r="J8" s="14" t="s">
        <v>193</v>
      </c>
      <c r="K8" s="560"/>
      <c r="L8" s="557"/>
      <c r="M8" s="15"/>
    </row>
    <row r="9" spans="1:13" s="255" customFormat="1" x14ac:dyDescent="0.2">
      <c r="A9" s="429">
        <v>1</v>
      </c>
      <c r="B9" s="429">
        <v>2</v>
      </c>
      <c r="C9" s="401">
        <v>3</v>
      </c>
      <c r="D9" s="401">
        <v>4</v>
      </c>
      <c r="E9" s="401">
        <v>5</v>
      </c>
      <c r="F9" s="401">
        <v>6</v>
      </c>
      <c r="G9" s="401">
        <v>7</v>
      </c>
      <c r="H9" s="401">
        <v>8</v>
      </c>
      <c r="I9" s="401">
        <v>9</v>
      </c>
      <c r="J9" s="401">
        <v>10</v>
      </c>
      <c r="K9" s="401">
        <v>11</v>
      </c>
      <c r="L9" s="401">
        <v>12</v>
      </c>
    </row>
    <row r="10" spans="1:13" s="163" customFormat="1" ht="14.25" customHeight="1" x14ac:dyDescent="0.2">
      <c r="A10" s="550" t="s">
        <v>1142</v>
      </c>
      <c r="B10" s="566">
        <v>11001</v>
      </c>
      <c r="C10" s="419"/>
      <c r="D10" s="262" t="s">
        <v>191</v>
      </c>
      <c r="E10" s="254">
        <v>137</v>
      </c>
      <c r="F10" s="254">
        <v>137</v>
      </c>
      <c r="G10" s="254">
        <v>137</v>
      </c>
      <c r="H10" s="254">
        <f>+G10-F10</f>
        <v>0</v>
      </c>
      <c r="I10" s="254">
        <f t="shared" ref="I10:I41" si="0">G10-E10</f>
        <v>0</v>
      </c>
      <c r="J10" s="254"/>
      <c r="K10" s="254">
        <v>137</v>
      </c>
      <c r="L10" s="254">
        <v>137</v>
      </c>
    </row>
    <row r="11" spans="1:13" s="163" customFormat="1" ht="13.5" customHeight="1" x14ac:dyDescent="0.2">
      <c r="A11" s="551"/>
      <c r="B11" s="567"/>
      <c r="C11" s="420"/>
      <c r="D11" s="263"/>
      <c r="E11" s="152"/>
      <c r="F11" s="152"/>
      <c r="G11" s="152"/>
      <c r="H11" s="152">
        <f t="shared" ref="H11:H73" si="1">+G11-F11</f>
        <v>0</v>
      </c>
      <c r="I11" s="152">
        <f t="shared" si="0"/>
        <v>0</v>
      </c>
      <c r="J11" s="152"/>
      <c r="K11" s="152"/>
      <c r="L11" s="152"/>
    </row>
    <row r="12" spans="1:13" s="163" customFormat="1" ht="14.25" customHeight="1" x14ac:dyDescent="0.2">
      <c r="A12" s="551"/>
      <c r="B12" s="567"/>
      <c r="C12" s="420"/>
      <c r="D12" s="264" t="s">
        <v>15</v>
      </c>
      <c r="E12" s="152">
        <v>8</v>
      </c>
      <c r="F12" s="152">
        <v>8</v>
      </c>
      <c r="G12" s="152">
        <v>8</v>
      </c>
      <c r="H12" s="152">
        <f t="shared" si="1"/>
        <v>0</v>
      </c>
      <c r="I12" s="152">
        <f t="shared" si="0"/>
        <v>0</v>
      </c>
      <c r="J12" s="152"/>
      <c r="K12" s="152">
        <v>8</v>
      </c>
      <c r="L12" s="152">
        <v>8</v>
      </c>
    </row>
    <row r="13" spans="1:13" s="257" customFormat="1" ht="14.25" customHeight="1" x14ac:dyDescent="0.2">
      <c r="A13" s="551"/>
      <c r="B13" s="567"/>
      <c r="C13" s="420"/>
      <c r="D13" s="263"/>
      <c r="E13" s="152"/>
      <c r="F13" s="152"/>
      <c r="G13" s="152"/>
      <c r="H13" s="152">
        <f t="shared" si="1"/>
        <v>0</v>
      </c>
      <c r="I13" s="152">
        <f t="shared" si="0"/>
        <v>0</v>
      </c>
      <c r="J13" s="152"/>
      <c r="K13" s="152"/>
      <c r="L13" s="152"/>
    </row>
    <row r="14" spans="1:13" s="255" customFormat="1" ht="14.25" customHeight="1" x14ac:dyDescent="0.25">
      <c r="A14" s="551"/>
      <c r="B14" s="567"/>
      <c r="C14" s="421"/>
      <c r="D14" s="272" t="s">
        <v>16</v>
      </c>
      <c r="E14" s="256">
        <f>+E16+E81</f>
        <v>520263.55999999994</v>
      </c>
      <c r="F14" s="256">
        <f>+F16+F81</f>
        <v>643170.49999999988</v>
      </c>
      <c r="G14" s="256">
        <f>+G16+G81</f>
        <v>640663.6</v>
      </c>
      <c r="H14" s="256">
        <f t="shared" si="1"/>
        <v>-2506.8999999999069</v>
      </c>
      <c r="I14" s="256">
        <f t="shared" si="0"/>
        <v>120400.04000000004</v>
      </c>
      <c r="J14" s="256"/>
      <c r="K14" s="256">
        <f>+K16+K81</f>
        <v>645056.19999999995</v>
      </c>
      <c r="L14" s="256">
        <f>+L16+L81</f>
        <v>649218.6</v>
      </c>
    </row>
    <row r="15" spans="1:13" s="255" customFormat="1" ht="14.25" customHeight="1" x14ac:dyDescent="0.25">
      <c r="A15" s="551"/>
      <c r="B15" s="567"/>
      <c r="C15" s="422"/>
      <c r="D15" s="17" t="s">
        <v>249</v>
      </c>
      <c r="E15" s="152"/>
      <c r="F15" s="152"/>
      <c r="G15" s="152"/>
      <c r="H15" s="256"/>
      <c r="I15" s="256"/>
      <c r="J15" s="152"/>
      <c r="K15" s="152"/>
      <c r="L15" s="152"/>
    </row>
    <row r="16" spans="1:13" s="255" customFormat="1" ht="14.25" customHeight="1" x14ac:dyDescent="0.2">
      <c r="A16" s="551"/>
      <c r="B16" s="567"/>
      <c r="C16" s="423"/>
      <c r="D16" s="265" t="s">
        <v>19</v>
      </c>
      <c r="E16" s="256">
        <f>E18+SUM(E24:E79)-E24-E29-E37-E51-E55-E72</f>
        <v>520263.55999999994</v>
      </c>
      <c r="F16" s="256">
        <f t="shared" ref="F16:L16" si="2">F18+SUM(F24:F79)-F24-F29-F37-F51-F55-F72</f>
        <v>637239.29999999993</v>
      </c>
      <c r="G16" s="256">
        <f t="shared" si="2"/>
        <v>640663.6</v>
      </c>
      <c r="H16" s="256">
        <f>+G16-F16</f>
        <v>3424.3000000000466</v>
      </c>
      <c r="I16" s="256">
        <f>G16-E16</f>
        <v>120400.04000000004</v>
      </c>
      <c r="J16" s="256"/>
      <c r="K16" s="256">
        <f t="shared" si="2"/>
        <v>645056.19999999995</v>
      </c>
      <c r="L16" s="256">
        <f t="shared" si="2"/>
        <v>649218.6</v>
      </c>
    </row>
    <row r="17" spans="1:14" s="255" customFormat="1" ht="13.5" customHeight="1" x14ac:dyDescent="0.2">
      <c r="A17" s="551"/>
      <c r="B17" s="567"/>
      <c r="C17" s="419"/>
      <c r="D17" s="263" t="s">
        <v>55</v>
      </c>
      <c r="E17" s="254"/>
      <c r="F17" s="254"/>
      <c r="G17" s="152"/>
      <c r="H17" s="152">
        <f t="shared" si="1"/>
        <v>0</v>
      </c>
      <c r="I17" s="254">
        <f t="shared" si="0"/>
        <v>0</v>
      </c>
      <c r="J17" s="254"/>
      <c r="K17" s="254"/>
      <c r="L17" s="254"/>
    </row>
    <row r="18" spans="1:14" s="255" customFormat="1" ht="14.25" x14ac:dyDescent="0.2">
      <c r="A18" s="551"/>
      <c r="B18" s="567"/>
      <c r="C18" s="424"/>
      <c r="D18" s="366" t="s">
        <v>327</v>
      </c>
      <c r="E18" s="367">
        <f>SUM(E20:E22)</f>
        <v>442760</v>
      </c>
      <c r="F18" s="367">
        <f>SUM(F20:F22)</f>
        <v>555529.1</v>
      </c>
      <c r="G18" s="367">
        <f>SUM(G20:G22)</f>
        <v>556778</v>
      </c>
      <c r="H18" s="367">
        <f t="shared" si="1"/>
        <v>1248.9000000000233</v>
      </c>
      <c r="I18" s="367">
        <f t="shared" si="0"/>
        <v>114018</v>
      </c>
      <c r="J18" s="367"/>
      <c r="K18" s="367">
        <f>SUM(K20:K22)</f>
        <v>561170.6</v>
      </c>
      <c r="L18" s="367">
        <f>SUM(L20:L22)</f>
        <v>565333</v>
      </c>
    </row>
    <row r="19" spans="1:14" s="255" customFormat="1" x14ac:dyDescent="0.25">
      <c r="A19" s="432"/>
      <c r="B19" s="430"/>
      <c r="C19" s="419"/>
      <c r="D19" s="263" t="s">
        <v>55</v>
      </c>
      <c r="E19" s="254"/>
      <c r="F19" s="254"/>
      <c r="G19" s="152"/>
      <c r="H19" s="152">
        <f t="shared" si="1"/>
        <v>0</v>
      </c>
      <c r="I19" s="254">
        <f t="shared" si="0"/>
        <v>0</v>
      </c>
      <c r="J19" s="254"/>
      <c r="K19" s="254"/>
      <c r="L19" s="254"/>
    </row>
    <row r="20" spans="1:14" s="255" customFormat="1" ht="28.5" x14ac:dyDescent="0.25">
      <c r="A20" s="432"/>
      <c r="B20" s="430"/>
      <c r="C20" s="425" t="s">
        <v>183</v>
      </c>
      <c r="D20" s="266" t="s">
        <v>20</v>
      </c>
      <c r="E20" s="254">
        <v>407768.2</v>
      </c>
      <c r="F20" s="254">
        <v>432078.2</v>
      </c>
      <c r="G20" s="254">
        <v>432473</v>
      </c>
      <c r="H20" s="254">
        <f t="shared" si="1"/>
        <v>394.79999999998836</v>
      </c>
      <c r="I20" s="254">
        <f t="shared" si="0"/>
        <v>24704.799999999988</v>
      </c>
      <c r="J20" s="254" t="s">
        <v>1150</v>
      </c>
      <c r="K20" s="254">
        <v>434570</v>
      </c>
      <c r="L20" s="254">
        <v>437730</v>
      </c>
      <c r="N20" s="258"/>
    </row>
    <row r="21" spans="1:14" s="258" customFormat="1" ht="28.5" x14ac:dyDescent="0.25">
      <c r="A21" s="432"/>
      <c r="B21" s="430"/>
      <c r="C21" s="425" t="s">
        <v>184</v>
      </c>
      <c r="D21" s="267" t="s">
        <v>21</v>
      </c>
      <c r="E21" s="254"/>
      <c r="F21" s="254">
        <v>88720</v>
      </c>
      <c r="G21" s="254">
        <v>88995</v>
      </c>
      <c r="H21" s="254">
        <f t="shared" si="1"/>
        <v>275</v>
      </c>
      <c r="I21" s="254">
        <f t="shared" si="0"/>
        <v>88995</v>
      </c>
      <c r="J21" s="254"/>
      <c r="K21" s="254">
        <v>90973.6</v>
      </c>
      <c r="L21" s="254">
        <v>91663</v>
      </c>
    </row>
    <row r="22" spans="1:14" s="258" customFormat="1" ht="28.5" x14ac:dyDescent="0.25">
      <c r="A22" s="432"/>
      <c r="B22" s="430"/>
      <c r="C22" s="425" t="s">
        <v>185</v>
      </c>
      <c r="D22" s="267" t="s">
        <v>22</v>
      </c>
      <c r="E22" s="254">
        <v>34991.800000000003</v>
      </c>
      <c r="F22" s="254">
        <v>34730.9</v>
      </c>
      <c r="G22" s="254">
        <v>35310</v>
      </c>
      <c r="H22" s="254">
        <f t="shared" si="1"/>
        <v>579.09999999999854</v>
      </c>
      <c r="I22" s="254">
        <f t="shared" si="0"/>
        <v>318.19999999999709</v>
      </c>
      <c r="J22" s="254"/>
      <c r="K22" s="254">
        <v>35627</v>
      </c>
      <c r="L22" s="254">
        <v>35940</v>
      </c>
    </row>
    <row r="23" spans="1:14" s="258" customFormat="1" ht="14.25" x14ac:dyDescent="0.25">
      <c r="A23" s="432"/>
      <c r="B23" s="430"/>
      <c r="C23" s="426"/>
      <c r="D23" s="368"/>
      <c r="E23" s="369"/>
      <c r="F23" s="369"/>
      <c r="G23" s="369"/>
      <c r="H23" s="369">
        <f t="shared" si="1"/>
        <v>0</v>
      </c>
      <c r="I23" s="369">
        <f t="shared" si="0"/>
        <v>0</v>
      </c>
      <c r="J23" s="369"/>
      <c r="K23" s="369"/>
      <c r="L23" s="369"/>
    </row>
    <row r="24" spans="1:14" s="258" customFormat="1" ht="27" x14ac:dyDescent="0.25">
      <c r="A24" s="432"/>
      <c r="B24" s="430"/>
      <c r="C24" s="427">
        <v>4212</v>
      </c>
      <c r="D24" s="366" t="s">
        <v>23</v>
      </c>
      <c r="E24" s="367">
        <f>E26+E27+E28</f>
        <v>13133.9</v>
      </c>
      <c r="F24" s="367">
        <f>F26+F27+F28</f>
        <v>13950</v>
      </c>
      <c r="G24" s="367">
        <f>G26+G27+G28</f>
        <v>12885.9</v>
      </c>
      <c r="H24" s="367">
        <f t="shared" si="1"/>
        <v>-1064.1000000000004</v>
      </c>
      <c r="I24" s="367">
        <f t="shared" si="0"/>
        <v>-248</v>
      </c>
      <c r="J24" s="367" t="s">
        <v>1151</v>
      </c>
      <c r="K24" s="367">
        <v>12885.9</v>
      </c>
      <c r="L24" s="367">
        <v>12885.9</v>
      </c>
    </row>
    <row r="25" spans="1:14" s="258" customFormat="1" x14ac:dyDescent="0.25">
      <c r="A25" s="432"/>
      <c r="B25" s="430"/>
      <c r="C25" s="425"/>
      <c r="D25" s="263" t="s">
        <v>55</v>
      </c>
      <c r="E25" s="273"/>
      <c r="F25" s="273"/>
      <c r="G25" s="273"/>
      <c r="H25" s="273">
        <f t="shared" si="1"/>
        <v>0</v>
      </c>
      <c r="I25" s="273">
        <f t="shared" si="0"/>
        <v>0</v>
      </c>
      <c r="J25" s="273"/>
      <c r="K25" s="273"/>
      <c r="L25" s="273"/>
    </row>
    <row r="26" spans="1:14" s="258" customFormat="1" x14ac:dyDescent="0.25">
      <c r="A26" s="432"/>
      <c r="B26" s="430"/>
      <c r="C26" s="425"/>
      <c r="D26" s="263" t="s">
        <v>23</v>
      </c>
      <c r="E26" s="273">
        <v>8550</v>
      </c>
      <c r="F26" s="273">
        <v>8700</v>
      </c>
      <c r="G26" s="273">
        <v>10421</v>
      </c>
      <c r="H26" s="273">
        <f t="shared" si="1"/>
        <v>1721</v>
      </c>
      <c r="I26" s="273">
        <f t="shared" si="0"/>
        <v>1871</v>
      </c>
      <c r="J26" s="273"/>
      <c r="K26" s="273">
        <v>10421</v>
      </c>
      <c r="L26" s="273">
        <v>10421</v>
      </c>
    </row>
    <row r="27" spans="1:14" s="258" customFormat="1" x14ac:dyDescent="0.25">
      <c r="A27" s="432"/>
      <c r="B27" s="430"/>
      <c r="C27" s="425"/>
      <c r="D27" s="263" t="s">
        <v>192</v>
      </c>
      <c r="E27" s="273">
        <v>4583.8999999999996</v>
      </c>
      <c r="F27" s="273">
        <v>5250</v>
      </c>
      <c r="G27" s="273">
        <v>2464.9</v>
      </c>
      <c r="H27" s="273">
        <f t="shared" si="1"/>
        <v>-2785.1</v>
      </c>
      <c r="I27" s="273">
        <f t="shared" si="0"/>
        <v>-2118.9999999999995</v>
      </c>
      <c r="J27" s="273"/>
      <c r="K27" s="273">
        <v>2464.9</v>
      </c>
      <c r="L27" s="273">
        <v>2464.9</v>
      </c>
    </row>
    <row r="28" spans="1:14" s="258" customFormat="1" x14ac:dyDescent="0.25">
      <c r="A28" s="432"/>
      <c r="B28" s="430"/>
      <c r="C28" s="425"/>
      <c r="D28" s="263" t="s">
        <v>251</v>
      </c>
      <c r="E28" s="273"/>
      <c r="F28" s="273"/>
      <c r="G28" s="273"/>
      <c r="H28" s="273">
        <f t="shared" si="1"/>
        <v>0</v>
      </c>
      <c r="I28" s="273">
        <f t="shared" si="0"/>
        <v>0</v>
      </c>
      <c r="J28" s="273"/>
      <c r="K28" s="273"/>
      <c r="L28" s="273"/>
    </row>
    <row r="29" spans="1:14" s="258" customFormat="1" ht="14.25" x14ac:dyDescent="0.25">
      <c r="A29" s="432"/>
      <c r="B29" s="430"/>
      <c r="C29" s="427">
        <v>4213</v>
      </c>
      <c r="D29" s="366" t="s">
        <v>24</v>
      </c>
      <c r="E29" s="367">
        <f>E31+E32</f>
        <v>36.299999999999997</v>
      </c>
      <c r="F29" s="367">
        <f>F31+F32</f>
        <v>36.299999999999997</v>
      </c>
      <c r="G29" s="367">
        <f>G31+G32</f>
        <v>36.299999999999997</v>
      </c>
      <c r="H29" s="367">
        <f t="shared" si="1"/>
        <v>0</v>
      </c>
      <c r="I29" s="367">
        <f t="shared" si="0"/>
        <v>0</v>
      </c>
      <c r="J29" s="367"/>
      <c r="K29" s="367">
        <v>36.299999999999997</v>
      </c>
      <c r="L29" s="367">
        <v>36.299999999999997</v>
      </c>
    </row>
    <row r="30" spans="1:14" s="258" customFormat="1" x14ac:dyDescent="0.25">
      <c r="A30" s="432"/>
      <c r="B30" s="430"/>
      <c r="C30" s="425"/>
      <c r="D30" s="263" t="s">
        <v>55</v>
      </c>
      <c r="E30" s="273"/>
      <c r="F30" s="273"/>
      <c r="G30" s="273"/>
      <c r="H30" s="273">
        <f t="shared" si="1"/>
        <v>0</v>
      </c>
      <c r="I30" s="273">
        <f t="shared" si="0"/>
        <v>0</v>
      </c>
      <c r="J30" s="273"/>
      <c r="K30" s="273"/>
      <c r="L30" s="273"/>
    </row>
    <row r="31" spans="1:14" s="258" customFormat="1" ht="27" x14ac:dyDescent="0.25">
      <c r="A31" s="432"/>
      <c r="B31" s="430"/>
      <c r="C31" s="425"/>
      <c r="D31" s="269" t="s">
        <v>25</v>
      </c>
      <c r="E31" s="273"/>
      <c r="F31" s="273"/>
      <c r="G31" s="273"/>
      <c r="H31" s="273">
        <f t="shared" si="1"/>
        <v>0</v>
      </c>
      <c r="I31" s="273">
        <f t="shared" si="0"/>
        <v>0</v>
      </c>
      <c r="J31" s="273"/>
      <c r="K31" s="273"/>
      <c r="L31" s="273"/>
    </row>
    <row r="32" spans="1:14" s="258" customFormat="1" ht="27" x14ac:dyDescent="0.25">
      <c r="A32" s="432"/>
      <c r="B32" s="430"/>
      <c r="C32" s="425"/>
      <c r="D32" s="269" t="s">
        <v>186</v>
      </c>
      <c r="E32" s="273">
        <v>36.299999999999997</v>
      </c>
      <c r="F32" s="273">
        <v>36.299999999999997</v>
      </c>
      <c r="G32" s="273">
        <v>36.299999999999997</v>
      </c>
      <c r="H32" s="273">
        <f t="shared" si="1"/>
        <v>0</v>
      </c>
      <c r="I32" s="273">
        <f t="shared" si="0"/>
        <v>0</v>
      </c>
      <c r="J32" s="273"/>
      <c r="K32" s="273">
        <v>36.299999999999997</v>
      </c>
      <c r="L32" s="273">
        <v>36.299999999999997</v>
      </c>
    </row>
    <row r="33" spans="1:14" s="258" customFormat="1" ht="14.25" x14ac:dyDescent="0.25">
      <c r="A33" s="432"/>
      <c r="B33" s="430"/>
      <c r="C33" s="425">
        <v>4214</v>
      </c>
      <c r="D33" s="268" t="s">
        <v>26</v>
      </c>
      <c r="E33" s="273">
        <v>3993.84</v>
      </c>
      <c r="F33" s="273">
        <v>5078.8999999999996</v>
      </c>
      <c r="G33" s="273">
        <v>5062.2</v>
      </c>
      <c r="H33" s="273">
        <f t="shared" si="1"/>
        <v>-16.699999999999818</v>
      </c>
      <c r="I33" s="273">
        <f t="shared" si="0"/>
        <v>1068.3599999999997</v>
      </c>
      <c r="J33" s="273"/>
      <c r="K33" s="273">
        <v>5062.2</v>
      </c>
      <c r="L33" s="273">
        <v>5062.2</v>
      </c>
      <c r="N33" s="255"/>
    </row>
    <row r="34" spans="1:14" s="255" customFormat="1" ht="23.25" customHeight="1" x14ac:dyDescent="0.25">
      <c r="A34" s="432"/>
      <c r="B34" s="430"/>
      <c r="C34" s="425">
        <v>4215</v>
      </c>
      <c r="D34" s="268" t="s">
        <v>27</v>
      </c>
      <c r="E34" s="273">
        <v>301</v>
      </c>
      <c r="F34" s="273">
        <v>240</v>
      </c>
      <c r="G34" s="273">
        <v>240</v>
      </c>
      <c r="H34" s="273">
        <f t="shared" si="1"/>
        <v>0</v>
      </c>
      <c r="I34" s="273">
        <f t="shared" si="0"/>
        <v>-61</v>
      </c>
      <c r="J34" s="273"/>
      <c r="K34" s="273">
        <v>240</v>
      </c>
      <c r="L34" s="273">
        <v>240</v>
      </c>
      <c r="N34" s="163"/>
    </row>
    <row r="35" spans="1:14" s="163" customFormat="1" ht="14.25" x14ac:dyDescent="0.25">
      <c r="A35" s="432"/>
      <c r="B35" s="430"/>
      <c r="C35" s="425">
        <v>4216</v>
      </c>
      <c r="D35" s="268" t="s">
        <v>28</v>
      </c>
      <c r="E35" s="273">
        <v>12233.3</v>
      </c>
      <c r="F35" s="273">
        <v>12233.3</v>
      </c>
      <c r="G35" s="273">
        <v>12233.3</v>
      </c>
      <c r="H35" s="273">
        <f t="shared" si="1"/>
        <v>0</v>
      </c>
      <c r="I35" s="273">
        <f t="shared" si="0"/>
        <v>0</v>
      </c>
      <c r="J35" s="273"/>
      <c r="K35" s="273">
        <v>12233.3</v>
      </c>
      <c r="L35" s="273">
        <v>12233.3</v>
      </c>
    </row>
    <row r="36" spans="1:14" s="163" customFormat="1" ht="14.25" x14ac:dyDescent="0.25">
      <c r="A36" s="432"/>
      <c r="B36" s="430"/>
      <c r="C36" s="425">
        <v>4217</v>
      </c>
      <c r="D36" s="268" t="s">
        <v>29</v>
      </c>
      <c r="E36" s="273"/>
      <c r="F36" s="273"/>
      <c r="G36" s="273"/>
      <c r="H36" s="273">
        <f t="shared" si="1"/>
        <v>0</v>
      </c>
      <c r="I36" s="273">
        <f t="shared" si="0"/>
        <v>0</v>
      </c>
      <c r="J36" s="273"/>
      <c r="K36" s="273"/>
      <c r="L36" s="273"/>
    </row>
    <row r="37" spans="1:14" s="163" customFormat="1" ht="14.25" x14ac:dyDescent="0.25">
      <c r="A37" s="432"/>
      <c r="B37" s="430"/>
      <c r="C37" s="427"/>
      <c r="D37" s="366" t="s">
        <v>274</v>
      </c>
      <c r="E37" s="367">
        <f>E39+E40</f>
        <v>4057.8</v>
      </c>
      <c r="F37" s="367">
        <f>F39+F40</f>
        <v>4057.8</v>
      </c>
      <c r="G37" s="367">
        <v>8259</v>
      </c>
      <c r="H37" s="367">
        <f t="shared" si="1"/>
        <v>4201.2</v>
      </c>
      <c r="I37" s="367">
        <f t="shared" si="0"/>
        <v>4201.2</v>
      </c>
      <c r="J37" s="367"/>
      <c r="K37" s="367">
        <v>8259</v>
      </c>
      <c r="L37" s="367">
        <v>8259</v>
      </c>
    </row>
    <row r="38" spans="1:14" s="163" customFormat="1" x14ac:dyDescent="0.25">
      <c r="A38" s="432"/>
      <c r="B38" s="430"/>
      <c r="C38" s="425"/>
      <c r="D38" s="263" t="s">
        <v>55</v>
      </c>
      <c r="E38" s="152"/>
      <c r="F38" s="152"/>
      <c r="G38" s="152"/>
      <c r="H38" s="152">
        <f t="shared" si="1"/>
        <v>0</v>
      </c>
      <c r="I38" s="152">
        <f t="shared" si="0"/>
        <v>0</v>
      </c>
      <c r="J38" s="152"/>
      <c r="K38" s="152"/>
      <c r="L38" s="152"/>
    </row>
    <row r="39" spans="1:14" s="163" customFormat="1" x14ac:dyDescent="0.25">
      <c r="A39" s="432"/>
      <c r="B39" s="430"/>
      <c r="C39" s="425">
        <v>4221</v>
      </c>
      <c r="D39" s="263" t="s">
        <v>30</v>
      </c>
      <c r="E39" s="152">
        <v>4057.8</v>
      </c>
      <c r="F39" s="152">
        <v>4057.8</v>
      </c>
      <c r="G39" s="152">
        <v>8259</v>
      </c>
      <c r="H39" s="152">
        <f t="shared" si="1"/>
        <v>4201.2</v>
      </c>
      <c r="I39" s="152">
        <f t="shared" si="0"/>
        <v>4201.2</v>
      </c>
      <c r="J39" s="152"/>
      <c r="K39" s="152">
        <v>8259</v>
      </c>
      <c r="L39" s="152">
        <v>8259</v>
      </c>
    </row>
    <row r="40" spans="1:14" s="163" customFormat="1" x14ac:dyDescent="0.25">
      <c r="A40" s="432"/>
      <c r="B40" s="430"/>
      <c r="C40" s="425">
        <v>4222</v>
      </c>
      <c r="D40" s="263" t="s">
        <v>31</v>
      </c>
      <c r="E40" s="152"/>
      <c r="F40" s="152"/>
      <c r="G40" s="152"/>
      <c r="H40" s="152">
        <f t="shared" si="1"/>
        <v>0</v>
      </c>
      <c r="I40" s="152">
        <f t="shared" si="0"/>
        <v>0</v>
      </c>
      <c r="J40" s="152"/>
      <c r="K40" s="152"/>
      <c r="L40" s="152"/>
      <c r="N40" s="258"/>
    </row>
    <row r="41" spans="1:14" s="258" customFormat="1" ht="14.25" x14ac:dyDescent="0.25">
      <c r="A41" s="432"/>
      <c r="B41" s="430"/>
      <c r="C41" s="425">
        <v>4231</v>
      </c>
      <c r="D41" s="264" t="s">
        <v>32</v>
      </c>
      <c r="E41" s="152"/>
      <c r="F41" s="152"/>
      <c r="G41" s="152"/>
      <c r="H41" s="152">
        <f t="shared" si="1"/>
        <v>0</v>
      </c>
      <c r="I41" s="152">
        <f t="shared" si="0"/>
        <v>0</v>
      </c>
      <c r="J41" s="152"/>
      <c r="K41" s="152"/>
      <c r="L41" s="152"/>
    </row>
    <row r="42" spans="1:14" s="258" customFormat="1" ht="16.5" x14ac:dyDescent="0.3">
      <c r="A42" s="432"/>
      <c r="B42" s="430"/>
      <c r="C42" s="425">
        <v>4232</v>
      </c>
      <c r="D42" s="264" t="s">
        <v>33</v>
      </c>
      <c r="E42" s="152">
        <v>1105.8</v>
      </c>
      <c r="F42" s="152">
        <v>2540</v>
      </c>
      <c r="G42" s="152">
        <v>3293</v>
      </c>
      <c r="H42" s="152">
        <f t="shared" si="1"/>
        <v>753</v>
      </c>
      <c r="I42" s="152">
        <f t="shared" ref="I42:I73" si="3">G42-E42</f>
        <v>2187.1999999999998</v>
      </c>
      <c r="J42" s="402"/>
      <c r="K42" s="152">
        <v>3293</v>
      </c>
      <c r="L42" s="152">
        <v>3293</v>
      </c>
    </row>
    <row r="43" spans="1:14" s="258" customFormat="1" ht="28.5" x14ac:dyDescent="0.3">
      <c r="A43" s="432"/>
      <c r="B43" s="430"/>
      <c r="C43" s="425">
        <v>4233</v>
      </c>
      <c r="D43" s="264" t="s">
        <v>242</v>
      </c>
      <c r="E43" s="152"/>
      <c r="F43" s="152"/>
      <c r="G43" s="152"/>
      <c r="H43" s="152">
        <f t="shared" si="1"/>
        <v>0</v>
      </c>
      <c r="I43" s="152">
        <f t="shared" si="3"/>
        <v>0</v>
      </c>
      <c r="J43" s="402"/>
      <c r="K43" s="152"/>
      <c r="L43" s="152"/>
    </row>
    <row r="44" spans="1:14" s="258" customFormat="1" ht="14.25" x14ac:dyDescent="0.25">
      <c r="A44" s="432"/>
      <c r="B44" s="430"/>
      <c r="C44" s="425">
        <v>4234</v>
      </c>
      <c r="D44" s="264" t="s">
        <v>34</v>
      </c>
      <c r="E44" s="273">
        <v>176.36</v>
      </c>
      <c r="F44" s="273">
        <v>200</v>
      </c>
      <c r="G44" s="273">
        <v>200</v>
      </c>
      <c r="H44" s="273">
        <f t="shared" si="1"/>
        <v>0</v>
      </c>
      <c r="I44" s="273">
        <f t="shared" si="3"/>
        <v>23.639999999999986</v>
      </c>
      <c r="J44" s="273"/>
      <c r="K44" s="273">
        <v>200</v>
      </c>
      <c r="L44" s="273">
        <v>200</v>
      </c>
      <c r="N44" s="255"/>
    </row>
    <row r="45" spans="1:14" s="255" customFormat="1" ht="14.25" x14ac:dyDescent="0.25">
      <c r="A45" s="432"/>
      <c r="B45" s="430"/>
      <c r="C45" s="425">
        <v>4235</v>
      </c>
      <c r="D45" s="264" t="s">
        <v>35</v>
      </c>
      <c r="E45" s="273"/>
      <c r="F45" s="273"/>
      <c r="G45" s="273"/>
      <c r="H45" s="273">
        <f t="shared" si="1"/>
        <v>0</v>
      </c>
      <c r="I45" s="273">
        <f t="shared" si="3"/>
        <v>0</v>
      </c>
      <c r="J45" s="273"/>
      <c r="K45" s="273"/>
      <c r="L45" s="273"/>
      <c r="N45" s="258"/>
    </row>
    <row r="46" spans="1:14" s="258" customFormat="1" ht="28.5" x14ac:dyDescent="0.25">
      <c r="A46" s="432"/>
      <c r="B46" s="430"/>
      <c r="C46" s="425">
        <v>4236</v>
      </c>
      <c r="D46" s="264" t="s">
        <v>36</v>
      </c>
      <c r="E46" s="273"/>
      <c r="F46" s="273"/>
      <c r="G46" s="273"/>
      <c r="H46" s="273">
        <f t="shared" si="1"/>
        <v>0</v>
      </c>
      <c r="I46" s="273">
        <f t="shared" si="3"/>
        <v>0</v>
      </c>
      <c r="J46" s="273"/>
      <c r="K46" s="273"/>
      <c r="L46" s="273"/>
      <c r="N46" s="255"/>
    </row>
    <row r="47" spans="1:14" s="255" customFormat="1" ht="14.25" x14ac:dyDescent="0.25">
      <c r="A47" s="432"/>
      <c r="B47" s="430"/>
      <c r="C47" s="425">
        <v>4237</v>
      </c>
      <c r="D47" s="264" t="s">
        <v>37</v>
      </c>
      <c r="E47" s="273">
        <v>300</v>
      </c>
      <c r="F47" s="273">
        <v>300</v>
      </c>
      <c r="G47" s="273">
        <v>300</v>
      </c>
      <c r="H47" s="273">
        <f t="shared" si="1"/>
        <v>0</v>
      </c>
      <c r="I47" s="273">
        <f t="shared" si="3"/>
        <v>0</v>
      </c>
      <c r="J47" s="273"/>
      <c r="K47" s="273">
        <v>300</v>
      </c>
      <c r="L47" s="273">
        <v>300</v>
      </c>
    </row>
    <row r="48" spans="1:14" s="255" customFormat="1" ht="14.25" x14ac:dyDescent="0.25">
      <c r="A48" s="432"/>
      <c r="B48" s="430"/>
      <c r="C48" s="425">
        <v>4239</v>
      </c>
      <c r="D48" s="262" t="s">
        <v>38</v>
      </c>
      <c r="E48" s="254">
        <v>396</v>
      </c>
      <c r="F48" s="254">
        <v>450</v>
      </c>
      <c r="G48" s="254">
        <v>450</v>
      </c>
      <c r="H48" s="254">
        <f t="shared" si="1"/>
        <v>0</v>
      </c>
      <c r="I48" s="254">
        <f t="shared" si="3"/>
        <v>54</v>
      </c>
      <c r="J48" s="254"/>
      <c r="K48" s="254">
        <v>450</v>
      </c>
      <c r="L48" s="254">
        <v>450</v>
      </c>
    </row>
    <row r="49" spans="1:14" s="255" customFormat="1" ht="14.25" x14ac:dyDescent="0.25">
      <c r="A49" s="432"/>
      <c r="B49" s="430"/>
      <c r="C49" s="425">
        <v>4241</v>
      </c>
      <c r="D49" s="264" t="s">
        <v>39</v>
      </c>
      <c r="E49" s="273"/>
      <c r="F49" s="273"/>
      <c r="G49" s="273"/>
      <c r="H49" s="273">
        <f t="shared" si="1"/>
        <v>0</v>
      </c>
      <c r="I49" s="273">
        <f t="shared" si="3"/>
        <v>0</v>
      </c>
      <c r="J49" s="273"/>
      <c r="K49" s="273"/>
      <c r="L49" s="273"/>
    </row>
    <row r="50" spans="1:14" s="255" customFormat="1" ht="28.5" x14ac:dyDescent="0.25">
      <c r="A50" s="432"/>
      <c r="B50" s="430"/>
      <c r="C50" s="425">
        <v>4251</v>
      </c>
      <c r="D50" s="262" t="s">
        <v>40</v>
      </c>
      <c r="E50" s="254"/>
      <c r="F50" s="254"/>
      <c r="G50" s="254"/>
      <c r="H50" s="254">
        <f t="shared" si="1"/>
        <v>0</v>
      </c>
      <c r="I50" s="254">
        <f t="shared" si="3"/>
        <v>0</v>
      </c>
      <c r="J50" s="254"/>
      <c r="K50" s="254"/>
      <c r="L50" s="254"/>
    </row>
    <row r="51" spans="1:14" s="255" customFormat="1" ht="28.5" x14ac:dyDescent="0.25">
      <c r="A51" s="432"/>
      <c r="B51" s="430"/>
      <c r="C51" s="427">
        <v>4252</v>
      </c>
      <c r="D51" s="366" t="s">
        <v>41</v>
      </c>
      <c r="E51" s="367">
        <f t="shared" ref="E51:L51" si="4">E53+E54</f>
        <v>1536.9</v>
      </c>
      <c r="F51" s="367">
        <f t="shared" si="4"/>
        <v>1600</v>
      </c>
      <c r="G51" s="367">
        <f t="shared" si="4"/>
        <v>1600</v>
      </c>
      <c r="H51" s="367">
        <f t="shared" si="1"/>
        <v>0</v>
      </c>
      <c r="I51" s="367">
        <f t="shared" si="3"/>
        <v>63.099999999999909</v>
      </c>
      <c r="J51" s="367"/>
      <c r="K51" s="367">
        <f t="shared" si="4"/>
        <v>1600</v>
      </c>
      <c r="L51" s="367">
        <f t="shared" si="4"/>
        <v>1600</v>
      </c>
    </row>
    <row r="52" spans="1:14" s="255" customFormat="1" x14ac:dyDescent="0.25">
      <c r="A52" s="432"/>
      <c r="B52" s="430"/>
      <c r="C52" s="425"/>
      <c r="D52" s="263" t="s">
        <v>55</v>
      </c>
      <c r="E52" s="254"/>
      <c r="F52" s="254"/>
      <c r="G52" s="254"/>
      <c r="H52" s="254">
        <f t="shared" si="1"/>
        <v>0</v>
      </c>
      <c r="I52" s="254">
        <f t="shared" si="3"/>
        <v>0</v>
      </c>
      <c r="J52" s="254"/>
      <c r="K52" s="254"/>
      <c r="L52" s="254"/>
      <c r="N52" s="258"/>
    </row>
    <row r="53" spans="1:14" s="258" customFormat="1" ht="27" x14ac:dyDescent="0.25">
      <c r="A53" s="432"/>
      <c r="B53" s="430"/>
      <c r="C53" s="425"/>
      <c r="D53" s="270" t="s">
        <v>42</v>
      </c>
      <c r="E53" s="254">
        <v>1200</v>
      </c>
      <c r="F53" s="254">
        <v>1200</v>
      </c>
      <c r="G53" s="254">
        <v>1200</v>
      </c>
      <c r="H53" s="254">
        <f t="shared" si="1"/>
        <v>0</v>
      </c>
      <c r="I53" s="254">
        <f t="shared" si="3"/>
        <v>0</v>
      </c>
      <c r="J53" s="254"/>
      <c r="K53" s="254">
        <v>1200</v>
      </c>
      <c r="L53" s="254">
        <v>1200</v>
      </c>
    </row>
    <row r="54" spans="1:14" s="258" customFormat="1" ht="27" x14ac:dyDescent="0.25">
      <c r="A54" s="432"/>
      <c r="B54" s="430"/>
      <c r="C54" s="425"/>
      <c r="D54" s="270" t="s">
        <v>43</v>
      </c>
      <c r="E54" s="254">
        <v>336.9</v>
      </c>
      <c r="F54" s="254">
        <v>400</v>
      </c>
      <c r="G54" s="254">
        <v>400</v>
      </c>
      <c r="H54" s="254">
        <f t="shared" si="1"/>
        <v>0</v>
      </c>
      <c r="I54" s="254">
        <f t="shared" si="3"/>
        <v>63.100000000000023</v>
      </c>
      <c r="J54" s="254"/>
      <c r="K54" s="254">
        <v>400</v>
      </c>
      <c r="L54" s="254">
        <v>400</v>
      </c>
    </row>
    <row r="55" spans="1:14" s="258" customFormat="1" ht="14.25" x14ac:dyDescent="0.25">
      <c r="A55" s="432"/>
      <c r="B55" s="430"/>
      <c r="C55" s="427">
        <v>4261</v>
      </c>
      <c r="D55" s="366" t="s">
        <v>44</v>
      </c>
      <c r="E55" s="367">
        <f t="shared" ref="E55:L55" si="5">E57+E58</f>
        <v>1315.46</v>
      </c>
      <c r="F55" s="367">
        <f t="shared" si="5"/>
        <v>1781</v>
      </c>
      <c r="G55" s="367">
        <f t="shared" si="5"/>
        <v>1661</v>
      </c>
      <c r="H55" s="367">
        <f t="shared" si="1"/>
        <v>-120</v>
      </c>
      <c r="I55" s="367">
        <f t="shared" si="3"/>
        <v>345.53999999999996</v>
      </c>
      <c r="J55" s="367"/>
      <c r="K55" s="367">
        <f t="shared" si="5"/>
        <v>1661</v>
      </c>
      <c r="L55" s="367">
        <f t="shared" si="5"/>
        <v>1661</v>
      </c>
    </row>
    <row r="56" spans="1:14" s="258" customFormat="1" x14ac:dyDescent="0.25">
      <c r="A56" s="432"/>
      <c r="B56" s="430"/>
      <c r="C56" s="425"/>
      <c r="D56" s="263" t="s">
        <v>55</v>
      </c>
      <c r="E56" s="273"/>
      <c r="F56" s="273"/>
      <c r="G56" s="273"/>
      <c r="H56" s="273">
        <f t="shared" si="1"/>
        <v>0</v>
      </c>
      <c r="I56" s="273">
        <f t="shared" si="3"/>
        <v>0</v>
      </c>
      <c r="J56" s="273"/>
      <c r="K56" s="273"/>
      <c r="L56" s="273"/>
    </row>
    <row r="57" spans="1:14" s="258" customFormat="1" x14ac:dyDescent="0.25">
      <c r="A57" s="432"/>
      <c r="B57" s="430"/>
      <c r="C57" s="425"/>
      <c r="D57" s="263" t="s">
        <v>45</v>
      </c>
      <c r="E57" s="273">
        <v>1315.46</v>
      </c>
      <c r="F57" s="273">
        <v>1781</v>
      </c>
      <c r="G57" s="273">
        <v>1661</v>
      </c>
      <c r="H57" s="273">
        <f t="shared" si="1"/>
        <v>-120</v>
      </c>
      <c r="I57" s="273">
        <f t="shared" si="3"/>
        <v>345.53999999999996</v>
      </c>
      <c r="J57" s="273"/>
      <c r="K57" s="273">
        <v>1661</v>
      </c>
      <c r="L57" s="273">
        <v>1661</v>
      </c>
    </row>
    <row r="58" spans="1:14" s="258" customFormat="1" x14ac:dyDescent="0.25">
      <c r="A58" s="432"/>
      <c r="B58" s="430"/>
      <c r="C58" s="425"/>
      <c r="D58" s="263" t="s">
        <v>46</v>
      </c>
      <c r="E58" s="273"/>
      <c r="F58" s="273"/>
      <c r="G58" s="273"/>
      <c r="H58" s="273">
        <f t="shared" si="1"/>
        <v>0</v>
      </c>
      <c r="I58" s="273">
        <f t="shared" si="3"/>
        <v>0</v>
      </c>
      <c r="J58" s="273"/>
      <c r="K58" s="273"/>
      <c r="L58" s="273"/>
    </row>
    <row r="59" spans="1:14" s="258" customFormat="1" ht="14.25" x14ac:dyDescent="0.25">
      <c r="A59" s="432"/>
      <c r="B59" s="430"/>
      <c r="C59" s="425">
        <v>4262</v>
      </c>
      <c r="D59" s="264" t="s">
        <v>207</v>
      </c>
      <c r="E59" s="273"/>
      <c r="F59" s="273"/>
      <c r="G59" s="273"/>
      <c r="H59" s="273">
        <f t="shared" si="1"/>
        <v>0</v>
      </c>
      <c r="I59" s="273">
        <f t="shared" si="3"/>
        <v>0</v>
      </c>
      <c r="J59" s="273"/>
      <c r="K59" s="273"/>
      <c r="L59" s="273"/>
    </row>
    <row r="60" spans="1:14" s="258" customFormat="1" ht="14.25" x14ac:dyDescent="0.25">
      <c r="A60" s="432"/>
      <c r="B60" s="430"/>
      <c r="C60" s="425">
        <v>4264</v>
      </c>
      <c r="D60" s="264" t="s">
        <v>206</v>
      </c>
      <c r="E60" s="273">
        <v>8188.5</v>
      </c>
      <c r="F60" s="273">
        <v>8328</v>
      </c>
      <c r="G60" s="273">
        <v>6750</v>
      </c>
      <c r="H60" s="273">
        <f t="shared" si="1"/>
        <v>-1578</v>
      </c>
      <c r="I60" s="273">
        <f t="shared" si="3"/>
        <v>-1438.5</v>
      </c>
      <c r="J60" s="273"/>
      <c r="K60" s="273">
        <v>6750</v>
      </c>
      <c r="L60" s="273">
        <v>6750</v>
      </c>
    </row>
    <row r="61" spans="1:14" s="258" customFormat="1" ht="22.5" customHeight="1" x14ac:dyDescent="0.25">
      <c r="A61" s="432"/>
      <c r="B61" s="430"/>
      <c r="C61" s="428">
        <v>4266</v>
      </c>
      <c r="D61" s="397" t="s">
        <v>284</v>
      </c>
      <c r="E61" s="273"/>
      <c r="F61" s="273"/>
      <c r="G61" s="273"/>
      <c r="H61" s="273">
        <f t="shared" si="1"/>
        <v>0</v>
      </c>
      <c r="I61" s="273">
        <f t="shared" si="3"/>
        <v>0</v>
      </c>
      <c r="J61" s="273"/>
      <c r="K61" s="273"/>
      <c r="L61" s="273"/>
    </row>
    <row r="62" spans="1:14" s="258" customFormat="1" ht="14.25" x14ac:dyDescent="0.25">
      <c r="A62" s="432"/>
      <c r="B62" s="430"/>
      <c r="C62" s="425">
        <v>4267</v>
      </c>
      <c r="D62" s="264" t="s">
        <v>208</v>
      </c>
      <c r="E62" s="273">
        <v>277.89999999999998</v>
      </c>
      <c r="F62" s="273">
        <v>465.8</v>
      </c>
      <c r="G62" s="273">
        <v>465.8</v>
      </c>
      <c r="H62" s="273">
        <f t="shared" si="1"/>
        <v>0</v>
      </c>
      <c r="I62" s="273">
        <f t="shared" si="3"/>
        <v>187.90000000000003</v>
      </c>
      <c r="J62" s="273"/>
      <c r="K62" s="273">
        <v>465.8</v>
      </c>
      <c r="L62" s="273">
        <v>465.8</v>
      </c>
    </row>
    <row r="63" spans="1:14" s="258" customFormat="1" ht="14.25" x14ac:dyDescent="0.25">
      <c r="A63" s="432"/>
      <c r="B63" s="430"/>
      <c r="C63" s="425">
        <v>4269</v>
      </c>
      <c r="D63" s="264" t="s">
        <v>47</v>
      </c>
      <c r="E63" s="273"/>
      <c r="F63" s="273"/>
      <c r="G63" s="273"/>
      <c r="H63" s="273">
        <f t="shared" si="1"/>
        <v>0</v>
      </c>
      <c r="I63" s="273">
        <f t="shared" si="3"/>
        <v>0</v>
      </c>
      <c r="J63" s="273"/>
      <c r="K63" s="273"/>
      <c r="L63" s="273"/>
      <c r="N63" s="260"/>
    </row>
    <row r="64" spans="1:14" s="258" customFormat="1" ht="28.5" x14ac:dyDescent="0.25">
      <c r="A64" s="432"/>
      <c r="B64" s="430"/>
      <c r="C64" s="425">
        <v>4511</v>
      </c>
      <c r="D64" s="262" t="s">
        <v>48</v>
      </c>
      <c r="E64" s="273"/>
      <c r="F64" s="273"/>
      <c r="G64" s="273"/>
      <c r="H64" s="273">
        <f t="shared" si="1"/>
        <v>0</v>
      </c>
      <c r="I64" s="273">
        <f t="shared" si="3"/>
        <v>0</v>
      </c>
      <c r="J64" s="273"/>
      <c r="K64" s="273"/>
      <c r="L64" s="273"/>
      <c r="N64" s="260"/>
    </row>
    <row r="65" spans="1:14" s="260" customFormat="1" ht="28.5" x14ac:dyDescent="0.3">
      <c r="A65" s="432"/>
      <c r="B65" s="430"/>
      <c r="C65" s="425">
        <v>4621</v>
      </c>
      <c r="D65" s="262" t="s">
        <v>49</v>
      </c>
      <c r="E65" s="273"/>
      <c r="F65" s="273"/>
      <c r="G65" s="273"/>
      <c r="H65" s="273">
        <f t="shared" si="1"/>
        <v>0</v>
      </c>
      <c r="I65" s="273">
        <f t="shared" si="3"/>
        <v>0</v>
      </c>
      <c r="J65" s="403"/>
      <c r="K65" s="273"/>
      <c r="L65" s="273"/>
      <c r="M65" s="258"/>
    </row>
    <row r="66" spans="1:14" s="260" customFormat="1" ht="28.5" x14ac:dyDescent="0.3">
      <c r="A66" s="432"/>
      <c r="B66" s="430"/>
      <c r="C66" s="425">
        <v>4631</v>
      </c>
      <c r="D66" s="262" t="s">
        <v>241</v>
      </c>
      <c r="E66" s="273"/>
      <c r="F66" s="273"/>
      <c r="G66" s="273"/>
      <c r="H66" s="273">
        <f t="shared" si="1"/>
        <v>0</v>
      </c>
      <c r="I66" s="273">
        <f t="shared" si="3"/>
        <v>0</v>
      </c>
      <c r="J66" s="403"/>
      <c r="K66" s="273"/>
      <c r="L66" s="273"/>
    </row>
    <row r="67" spans="1:14" s="260" customFormat="1" ht="21.75" customHeight="1" x14ac:dyDescent="0.25">
      <c r="A67" s="432"/>
      <c r="B67" s="430"/>
      <c r="C67" s="425">
        <v>4632</v>
      </c>
      <c r="D67" s="262" t="s">
        <v>190</v>
      </c>
      <c r="E67" s="273"/>
      <c r="F67" s="273"/>
      <c r="G67" s="273"/>
      <c r="H67" s="273">
        <f t="shared" si="1"/>
        <v>0</v>
      </c>
      <c r="I67" s="273">
        <f t="shared" si="3"/>
        <v>0</v>
      </c>
      <c r="J67" s="273"/>
      <c r="K67" s="273"/>
      <c r="L67" s="273"/>
    </row>
    <row r="68" spans="1:14" s="260" customFormat="1" ht="48.75" customHeight="1" x14ac:dyDescent="0.25">
      <c r="A68" s="432"/>
      <c r="B68" s="430"/>
      <c r="C68" s="428">
        <v>4638</v>
      </c>
      <c r="D68" s="397" t="s">
        <v>285</v>
      </c>
      <c r="E68" s="273"/>
      <c r="F68" s="273"/>
      <c r="G68" s="273"/>
      <c r="H68" s="273">
        <f t="shared" si="1"/>
        <v>0</v>
      </c>
      <c r="I68" s="273">
        <f t="shared" si="3"/>
        <v>0</v>
      </c>
      <c r="J68" s="273"/>
      <c r="K68" s="273"/>
      <c r="L68" s="273"/>
    </row>
    <row r="69" spans="1:14" s="260" customFormat="1" ht="14.25" x14ac:dyDescent="0.25">
      <c r="A69" s="432"/>
      <c r="B69" s="430"/>
      <c r="C69" s="425" t="s">
        <v>245</v>
      </c>
      <c r="D69" s="262" t="s">
        <v>246</v>
      </c>
      <c r="E69" s="273"/>
      <c r="F69" s="273"/>
      <c r="G69" s="273"/>
      <c r="H69" s="273">
        <f t="shared" si="1"/>
        <v>0</v>
      </c>
      <c r="I69" s="273">
        <f t="shared" si="3"/>
        <v>0</v>
      </c>
      <c r="J69" s="273"/>
      <c r="K69" s="273"/>
      <c r="L69" s="273"/>
    </row>
    <row r="70" spans="1:14" s="260" customFormat="1" ht="14.25" x14ac:dyDescent="0.25">
      <c r="A70" s="432"/>
      <c r="B70" s="430"/>
      <c r="C70" s="425">
        <v>4729</v>
      </c>
      <c r="D70" s="264" t="s">
        <v>50</v>
      </c>
      <c r="E70" s="277">
        <v>30000</v>
      </c>
      <c r="F70" s="277">
        <v>30000</v>
      </c>
      <c r="G70" s="273">
        <v>30000</v>
      </c>
      <c r="H70" s="273">
        <f t="shared" si="1"/>
        <v>0</v>
      </c>
      <c r="I70" s="273">
        <f t="shared" si="3"/>
        <v>0</v>
      </c>
      <c r="J70" s="277"/>
      <c r="K70" s="277">
        <v>30000</v>
      </c>
      <c r="L70" s="277">
        <v>30000</v>
      </c>
    </row>
    <row r="71" spans="1:14" s="260" customFormat="1" ht="14.25" x14ac:dyDescent="0.25">
      <c r="A71" s="432"/>
      <c r="B71" s="430"/>
      <c r="C71" s="425">
        <v>4822</v>
      </c>
      <c r="D71" s="264" t="s">
        <v>51</v>
      </c>
      <c r="E71" s="277"/>
      <c r="F71" s="277"/>
      <c r="G71" s="273"/>
      <c r="H71" s="273">
        <f t="shared" si="1"/>
        <v>0</v>
      </c>
      <c r="I71" s="273">
        <f t="shared" si="3"/>
        <v>0</v>
      </c>
      <c r="J71" s="277"/>
      <c r="K71" s="277"/>
      <c r="L71" s="277"/>
    </row>
    <row r="72" spans="1:14" s="260" customFormat="1" ht="14.25" x14ac:dyDescent="0.25">
      <c r="A72" s="432"/>
      <c r="B72" s="430"/>
      <c r="C72" s="427">
        <v>4823</v>
      </c>
      <c r="D72" s="366" t="s">
        <v>52</v>
      </c>
      <c r="E72" s="367">
        <f>E74+E75+E76</f>
        <v>450.5</v>
      </c>
      <c r="F72" s="367">
        <f>F74+F75+F76</f>
        <v>449.1</v>
      </c>
      <c r="G72" s="367">
        <f>G74+G75+G76</f>
        <v>449.1</v>
      </c>
      <c r="H72" s="367">
        <f t="shared" si="1"/>
        <v>0</v>
      </c>
      <c r="I72" s="367">
        <f t="shared" si="3"/>
        <v>-1.3999999999999773</v>
      </c>
      <c r="J72" s="367"/>
      <c r="K72" s="367">
        <v>449.1</v>
      </c>
      <c r="L72" s="367">
        <v>449.1</v>
      </c>
    </row>
    <row r="73" spans="1:14" s="260" customFormat="1" ht="14.25" x14ac:dyDescent="0.25">
      <c r="A73" s="432"/>
      <c r="B73" s="430"/>
      <c r="C73" s="425"/>
      <c r="D73" s="263" t="s">
        <v>55</v>
      </c>
      <c r="E73" s="277"/>
      <c r="F73" s="277"/>
      <c r="G73" s="273"/>
      <c r="H73" s="273">
        <f t="shared" si="1"/>
        <v>0</v>
      </c>
      <c r="I73" s="273">
        <f t="shared" si="3"/>
        <v>0</v>
      </c>
      <c r="J73" s="277"/>
      <c r="K73" s="277"/>
      <c r="L73" s="277"/>
      <c r="N73" s="258"/>
    </row>
    <row r="74" spans="1:14" s="258" customFormat="1" ht="27" x14ac:dyDescent="0.25">
      <c r="A74" s="432"/>
      <c r="B74" s="430"/>
      <c r="C74" s="425"/>
      <c r="D74" s="263" t="s">
        <v>189</v>
      </c>
      <c r="E74" s="277">
        <v>73.400000000000006</v>
      </c>
      <c r="F74" s="277">
        <v>72</v>
      </c>
      <c r="G74" s="273">
        <v>72</v>
      </c>
      <c r="H74" s="273">
        <f t="shared" ref="H74:H86" si="6">+G74-F74</f>
        <v>0</v>
      </c>
      <c r="I74" s="273">
        <f t="shared" ref="I74:I79" si="7">G74-E74</f>
        <v>-1.4000000000000057</v>
      </c>
      <c r="J74" s="277"/>
      <c r="K74" s="277">
        <v>72</v>
      </c>
      <c r="L74" s="277">
        <v>72</v>
      </c>
      <c r="M74" s="260"/>
      <c r="N74" s="5"/>
    </row>
    <row r="75" spans="1:14" ht="27.95" customHeight="1" x14ac:dyDescent="0.25">
      <c r="A75" s="432"/>
      <c r="B75" s="430"/>
      <c r="C75" s="425"/>
      <c r="D75" s="263" t="s">
        <v>187</v>
      </c>
      <c r="E75" s="277">
        <v>377.1</v>
      </c>
      <c r="F75" s="277">
        <v>377.1</v>
      </c>
      <c r="G75" s="273">
        <v>377.1</v>
      </c>
      <c r="H75" s="273">
        <f t="shared" si="6"/>
        <v>0</v>
      </c>
      <c r="I75" s="273">
        <f t="shared" si="7"/>
        <v>0</v>
      </c>
      <c r="J75" s="277"/>
      <c r="K75" s="277">
        <v>377.1</v>
      </c>
      <c r="L75" s="277">
        <v>377.1</v>
      </c>
      <c r="M75" s="258"/>
    </row>
    <row r="76" spans="1:14" ht="14.25" x14ac:dyDescent="0.25">
      <c r="A76" s="432"/>
      <c r="B76" s="430"/>
      <c r="C76" s="425"/>
      <c r="D76" s="263" t="s">
        <v>188</v>
      </c>
      <c r="E76" s="277"/>
      <c r="F76" s="277"/>
      <c r="G76" s="273"/>
      <c r="H76" s="273">
        <f t="shared" si="6"/>
        <v>0</v>
      </c>
      <c r="I76" s="273">
        <f t="shared" si="7"/>
        <v>0</v>
      </c>
      <c r="J76" s="277"/>
      <c r="K76" s="277"/>
      <c r="L76" s="277"/>
      <c r="N76" s="274"/>
    </row>
    <row r="77" spans="1:14" ht="31.5" customHeight="1" x14ac:dyDescent="0.25">
      <c r="A77" s="432"/>
      <c r="B77" s="430"/>
      <c r="C77" s="428" t="s">
        <v>283</v>
      </c>
      <c r="D77" s="397" t="s">
        <v>314</v>
      </c>
      <c r="E77" s="277"/>
      <c r="F77" s="277"/>
      <c r="G77" s="273"/>
      <c r="H77" s="273">
        <f t="shared" si="6"/>
        <v>0</v>
      </c>
      <c r="I77" s="273">
        <f t="shared" si="7"/>
        <v>0</v>
      </c>
      <c r="J77" s="277"/>
      <c r="K77" s="277"/>
      <c r="L77" s="277"/>
      <c r="N77" s="274"/>
    </row>
    <row r="78" spans="1:14" s="274" customFormat="1" ht="14.25" x14ac:dyDescent="0.25">
      <c r="A78" s="432"/>
      <c r="B78" s="430"/>
      <c r="C78" s="425">
        <v>4861</v>
      </c>
      <c r="D78" s="264" t="s">
        <v>53</v>
      </c>
      <c r="E78" s="277"/>
      <c r="F78" s="277"/>
      <c r="G78" s="273"/>
      <c r="H78" s="273">
        <f t="shared" si="6"/>
        <v>0</v>
      </c>
      <c r="I78" s="273">
        <f t="shared" si="7"/>
        <v>0</v>
      </c>
      <c r="J78" s="277"/>
      <c r="K78" s="277"/>
      <c r="L78" s="277"/>
      <c r="M78" s="4"/>
      <c r="N78" s="5"/>
    </row>
    <row r="79" spans="1:14" ht="14.25" x14ac:dyDescent="0.25">
      <c r="A79" s="433"/>
      <c r="B79" s="431"/>
      <c r="C79" s="425">
        <v>4891</v>
      </c>
      <c r="D79" s="264" t="s">
        <v>54</v>
      </c>
      <c r="E79" s="273"/>
      <c r="F79" s="273"/>
      <c r="G79" s="273"/>
      <c r="H79" s="273">
        <f t="shared" si="6"/>
        <v>0</v>
      </c>
      <c r="I79" s="273">
        <f t="shared" si="7"/>
        <v>0</v>
      </c>
      <c r="J79" s="273"/>
      <c r="K79" s="273"/>
      <c r="L79" s="273"/>
      <c r="M79" s="250"/>
    </row>
    <row r="80" spans="1:14" ht="9.9499999999999993" customHeight="1" x14ac:dyDescent="0.25">
      <c r="D80" s="365"/>
      <c r="E80" s="404"/>
      <c r="F80" s="404"/>
      <c r="G80" s="404"/>
      <c r="H80" s="404"/>
      <c r="I80" s="404"/>
      <c r="J80" s="404"/>
      <c r="K80" s="405"/>
      <c r="L80" s="406"/>
    </row>
    <row r="81" spans="1:12" s="28" customFormat="1" ht="28.5" x14ac:dyDescent="0.25">
      <c r="A81" s="555" t="s">
        <v>298</v>
      </c>
      <c r="B81" s="555"/>
      <c r="C81" s="275"/>
      <c r="D81" s="37" t="s">
        <v>56</v>
      </c>
      <c r="E81" s="27">
        <f>+E83+E84+E85+E86</f>
        <v>0</v>
      </c>
      <c r="F81" s="27">
        <f>+F83+F84+F85+F86</f>
        <v>5931.2</v>
      </c>
      <c r="G81" s="27">
        <f>+G83+G84+G85+G86</f>
        <v>0</v>
      </c>
      <c r="H81" s="27">
        <f t="shared" si="6"/>
        <v>-5931.2</v>
      </c>
      <c r="I81" s="27">
        <f>+I83+I84+I85+I86</f>
        <v>0</v>
      </c>
      <c r="J81" s="27">
        <f>+J83+J84+J85+J86</f>
        <v>0</v>
      </c>
      <c r="K81" s="27">
        <f>+K83+K84+K85+K86</f>
        <v>0</v>
      </c>
      <c r="L81" s="27">
        <f>+L83+L84+L85+L86</f>
        <v>0</v>
      </c>
    </row>
    <row r="82" spans="1:12" s="20" customFormat="1" ht="23.25" customHeight="1" x14ac:dyDescent="0.25">
      <c r="A82" s="413" t="s">
        <v>299</v>
      </c>
      <c r="B82" s="413" t="s">
        <v>300</v>
      </c>
      <c r="C82" s="276"/>
      <c r="D82" s="17" t="s">
        <v>55</v>
      </c>
      <c r="E82" s="18"/>
      <c r="F82" s="18"/>
      <c r="G82" s="18"/>
      <c r="H82" s="27">
        <f t="shared" si="6"/>
        <v>0</v>
      </c>
      <c r="I82" s="18"/>
      <c r="J82" s="18"/>
      <c r="K82" s="18"/>
      <c r="L82" s="18"/>
    </row>
    <row r="83" spans="1:12" s="34" customFormat="1" ht="15.75" customHeight="1" x14ac:dyDescent="0.25">
      <c r="A83" s="434">
        <v>1037</v>
      </c>
      <c r="B83" s="434">
        <v>31001</v>
      </c>
      <c r="C83" s="247">
        <v>5121</v>
      </c>
      <c r="D83" s="21" t="s">
        <v>57</v>
      </c>
      <c r="E83" s="38"/>
      <c r="F83" s="38"/>
      <c r="G83" s="234"/>
      <c r="H83" s="27">
        <f t="shared" si="6"/>
        <v>0</v>
      </c>
      <c r="I83" s="234"/>
      <c r="J83" s="38"/>
      <c r="K83" s="234"/>
      <c r="L83" s="234"/>
    </row>
    <row r="84" spans="1:12" s="34" customFormat="1" ht="15.75" customHeight="1" x14ac:dyDescent="0.25">
      <c r="A84" s="432"/>
      <c r="B84" s="432"/>
      <c r="C84" s="247">
        <v>5122</v>
      </c>
      <c r="D84" s="21" t="s">
        <v>58</v>
      </c>
      <c r="E84" s="38"/>
      <c r="F84" s="38">
        <v>5931.2</v>
      </c>
      <c r="G84" s="234"/>
      <c r="H84" s="27">
        <f t="shared" si="6"/>
        <v>-5931.2</v>
      </c>
      <c r="I84" s="234"/>
      <c r="J84" s="38"/>
      <c r="K84" s="234"/>
      <c r="L84" s="234"/>
    </row>
    <row r="85" spans="1:12" s="34" customFormat="1" ht="14.25" x14ac:dyDescent="0.25">
      <c r="A85" s="432"/>
      <c r="B85" s="432"/>
      <c r="C85" s="247">
        <v>5129</v>
      </c>
      <c r="D85" s="21" t="s">
        <v>59</v>
      </c>
      <c r="E85" s="38"/>
      <c r="F85" s="38"/>
      <c r="G85" s="234"/>
      <c r="H85" s="27">
        <f t="shared" si="6"/>
        <v>0</v>
      </c>
      <c r="I85" s="234">
        <f>G85-E85</f>
        <v>0</v>
      </c>
      <c r="J85" s="38"/>
      <c r="K85" s="234"/>
      <c r="L85" s="234"/>
    </row>
    <row r="86" spans="1:12" s="34" customFormat="1" ht="15.75" customHeight="1" x14ac:dyDescent="0.25">
      <c r="A86" s="433"/>
      <c r="B86" s="433"/>
      <c r="C86" s="247">
        <v>5132</v>
      </c>
      <c r="D86" s="21" t="s">
        <v>60</v>
      </c>
      <c r="E86" s="38"/>
      <c r="F86" s="38"/>
      <c r="G86" s="234"/>
      <c r="H86" s="27">
        <f t="shared" si="6"/>
        <v>0</v>
      </c>
      <c r="I86" s="234">
        <f>G86-E86</f>
        <v>0</v>
      </c>
      <c r="J86" s="38"/>
      <c r="K86" s="234"/>
      <c r="L86" s="234"/>
    </row>
  </sheetData>
  <customSheetViews>
    <customSheetView guid="{EE5C0AFB-B96A-4C3C-885D-9A248AEB532B}" showPageBreaks="1" showRuler="0">
      <pageMargins left="0.18" right="0.17" top="0.28000000000000003" bottom="0.24" header="0.17" footer="0.19"/>
      <pageSetup paperSize="9" scale="80" orientation="landscape" verticalDpi="0" r:id="rId1"/>
      <headerFooter alignWithMargins="0"/>
    </customSheetView>
    <customSheetView guid="{D9EA75C0-4948-47E2-929C-5FF812E82023}" showRuler="0" topLeftCell="A52">
      <selection activeCell="C57" sqref="C57"/>
      <pageMargins left="0.75" right="0.75" top="0.28000000000000003" bottom="0.24" header="0.17" footer="0.19"/>
      <pageSetup paperSize="9" orientation="portrait" verticalDpi="0" r:id="rId2"/>
      <headerFooter alignWithMargins="0"/>
    </customSheetView>
  </customSheetViews>
  <mergeCells count="13">
    <mergeCell ref="B13:B14"/>
    <mergeCell ref="B15:B16"/>
    <mergeCell ref="B17:B18"/>
    <mergeCell ref="K7:K8"/>
    <mergeCell ref="L7:L8"/>
    <mergeCell ref="C7:D7"/>
    <mergeCell ref="A6:B6"/>
    <mergeCell ref="A2:H2"/>
    <mergeCell ref="A81:B81"/>
    <mergeCell ref="A7:B7"/>
    <mergeCell ref="D3:I3"/>
    <mergeCell ref="A10:A18"/>
    <mergeCell ref="B10:B12"/>
  </mergeCells>
  <phoneticPr fontId="2" type="noConversion"/>
  <conditionalFormatting sqref="C8:D8">
    <cfRule type="cellIs" dxfId="1" priority="5" stopIfTrue="1" operator="equal">
      <formula>0</formula>
    </cfRule>
  </conditionalFormatting>
  <conditionalFormatting sqref="D14:D15">
    <cfRule type="cellIs" dxfId="0" priority="1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3"/>
  <headerFooter alignWithMargins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21" workbookViewId="0">
      <selection activeCell="B151" sqref="B151"/>
    </sheetView>
  </sheetViews>
  <sheetFormatPr defaultRowHeight="13.5" x14ac:dyDescent="0.25"/>
  <cols>
    <col min="1" max="1" width="4.85546875" style="4" customWidth="1"/>
    <col min="2" max="2" width="49.42578125" style="5" customWidth="1"/>
    <col min="3" max="4" width="10.28515625" style="5" customWidth="1"/>
    <col min="5" max="5" width="20.7109375" style="5" customWidth="1"/>
    <col min="6" max="6" width="8.140625" style="5" bestFit="1" customWidth="1"/>
    <col min="7" max="7" width="20.85546875" style="5" customWidth="1"/>
    <col min="8" max="8" width="9.42578125" style="5" customWidth="1"/>
    <col min="9" max="9" width="21" style="5" customWidth="1"/>
    <col min="10" max="10" width="13.5703125" style="5" customWidth="1"/>
    <col min="11" max="16384" width="9.140625" style="5"/>
  </cols>
  <sheetData>
    <row r="1" spans="1:12" s="32" customFormat="1" x14ac:dyDescent="0.25">
      <c r="A1" s="283"/>
      <c r="B1" s="3"/>
      <c r="C1" s="3"/>
      <c r="D1" s="3"/>
      <c r="E1" s="111"/>
      <c r="F1" s="111"/>
      <c r="G1" s="31"/>
      <c r="H1" s="31"/>
      <c r="I1" s="124" t="s">
        <v>261</v>
      </c>
    </row>
    <row r="2" spans="1:12" s="32" customFormat="1" ht="12.75" customHeight="1" x14ac:dyDescent="0.25">
      <c r="A2" s="283"/>
      <c r="B2" s="3"/>
      <c r="C2" s="3"/>
      <c r="D2" s="3"/>
      <c r="E2" s="111"/>
      <c r="F2" s="111"/>
      <c r="G2" s="568" t="s">
        <v>11</v>
      </c>
      <c r="H2" s="568"/>
      <c r="I2" s="568"/>
    </row>
    <row r="3" spans="1:12" s="32" customFormat="1" ht="14.25" thickBot="1" x14ac:dyDescent="0.3">
      <c r="A3" s="31"/>
      <c r="B3" s="196" t="s">
        <v>380</v>
      </c>
      <c r="C3" s="196"/>
      <c r="D3" s="196"/>
      <c r="E3" s="196"/>
      <c r="F3" s="436"/>
    </row>
    <row r="4" spans="1:12" s="168" customFormat="1" ht="17.25" customHeight="1" x14ac:dyDescent="0.25">
      <c r="A4" s="31"/>
      <c r="B4" s="385" t="s">
        <v>12</v>
      </c>
      <c r="E4" s="378"/>
      <c r="F4" s="436"/>
      <c r="G4" s="167"/>
      <c r="H4" s="167"/>
      <c r="I4" s="167"/>
      <c r="J4" s="167"/>
      <c r="K4" s="167"/>
      <c r="L4" s="167"/>
    </row>
    <row r="5" spans="1:12" s="32" customFormat="1" ht="54.95" customHeight="1" x14ac:dyDescent="0.25">
      <c r="A5" s="386" t="s">
        <v>288</v>
      </c>
      <c r="B5" s="391"/>
      <c r="C5" s="379"/>
      <c r="D5" s="379"/>
      <c r="E5" s="379"/>
      <c r="F5" s="379"/>
      <c r="G5" s="379"/>
      <c r="H5" s="379"/>
      <c r="I5" s="125"/>
    </row>
    <row r="6" spans="1:12" s="32" customFormat="1" ht="14.25" thickBot="1" x14ac:dyDescent="0.3">
      <c r="A6" s="31"/>
      <c r="G6" s="345" t="s">
        <v>230</v>
      </c>
      <c r="H6" s="353"/>
    </row>
    <row r="7" spans="1:12" s="92" customFormat="1" ht="46.5" customHeight="1" thickBot="1" x14ac:dyDescent="0.3">
      <c r="A7" s="380"/>
      <c r="B7" s="381"/>
      <c r="C7" s="382"/>
      <c r="D7" s="570" t="s">
        <v>286</v>
      </c>
      <c r="E7" s="571"/>
      <c r="F7" s="570" t="s">
        <v>239</v>
      </c>
      <c r="G7" s="571"/>
      <c r="H7" s="572" t="s">
        <v>287</v>
      </c>
      <c r="I7" s="573"/>
    </row>
    <row r="8" spans="1:12" s="109" customFormat="1" ht="55.5" customHeight="1" thickBot="1" x14ac:dyDescent="0.3">
      <c r="A8" s="383" t="s">
        <v>6</v>
      </c>
      <c r="B8" s="380" t="s">
        <v>252</v>
      </c>
      <c r="C8" s="384" t="s">
        <v>260</v>
      </c>
      <c r="D8" s="373" t="s">
        <v>142</v>
      </c>
      <c r="E8" s="363" t="s">
        <v>311</v>
      </c>
      <c r="F8" s="373" t="s">
        <v>142</v>
      </c>
      <c r="G8" s="373" t="s">
        <v>311</v>
      </c>
      <c r="H8" s="373" t="s">
        <v>142</v>
      </c>
      <c r="I8" s="437" t="s">
        <v>311</v>
      </c>
    </row>
    <row r="9" spans="1:12" s="110" customFormat="1" thickBot="1" x14ac:dyDescent="0.3">
      <c r="A9" s="198">
        <v>1</v>
      </c>
      <c r="B9" s="392">
        <v>2</v>
      </c>
      <c r="C9" s="197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199">
        <v>9</v>
      </c>
    </row>
    <row r="10" spans="1:12" s="200" customFormat="1" ht="22.7" customHeight="1" x14ac:dyDescent="0.25">
      <c r="A10" s="374">
        <v>1</v>
      </c>
      <c r="B10" s="393" t="s">
        <v>23</v>
      </c>
      <c r="C10" s="375">
        <v>4212</v>
      </c>
      <c r="D10" s="375"/>
      <c r="E10" s="376">
        <f>SUM(E13:E15)</f>
        <v>13950</v>
      </c>
      <c r="F10" s="376"/>
      <c r="G10" s="376">
        <f>SUM(G13:G15)</f>
        <v>12885.9</v>
      </c>
      <c r="H10" s="376">
        <f>F10-D10</f>
        <v>0</v>
      </c>
      <c r="I10" s="376">
        <f>G10-E10</f>
        <v>-1064.1000000000004</v>
      </c>
    </row>
    <row r="11" spans="1:12" s="42" customFormat="1" x14ac:dyDescent="0.25">
      <c r="A11" s="81"/>
      <c r="B11" s="377" t="s">
        <v>112</v>
      </c>
      <c r="C11" s="81"/>
      <c r="D11" s="81"/>
      <c r="E11" s="83"/>
      <c r="F11" s="83"/>
      <c r="G11" s="108"/>
      <c r="H11" s="108"/>
      <c r="I11" s="108"/>
    </row>
    <row r="12" spans="1:12" s="42" customFormat="1" x14ac:dyDescent="0.25">
      <c r="A12" s="81"/>
      <c r="B12" s="394" t="s">
        <v>273</v>
      </c>
      <c r="C12" s="81"/>
      <c r="D12" s="81"/>
      <c r="E12" s="83"/>
      <c r="F12" s="83"/>
      <c r="G12" s="108"/>
      <c r="H12" s="108"/>
      <c r="I12" s="108"/>
    </row>
    <row r="13" spans="1:12" s="42" customFormat="1" x14ac:dyDescent="0.25">
      <c r="A13" s="81">
        <v>1</v>
      </c>
      <c r="B13" s="263" t="s">
        <v>1077</v>
      </c>
      <c r="C13" s="81" t="s">
        <v>1</v>
      </c>
      <c r="D13" s="81">
        <v>1</v>
      </c>
      <c r="E13" s="83">
        <v>8700</v>
      </c>
      <c r="F13" s="83">
        <v>1</v>
      </c>
      <c r="G13" s="83">
        <v>10421</v>
      </c>
      <c r="H13" s="83">
        <f t="shared" ref="H13:I16" si="0">F13-D13</f>
        <v>0</v>
      </c>
      <c r="I13" s="83">
        <f t="shared" si="0"/>
        <v>1721</v>
      </c>
    </row>
    <row r="14" spans="1:12" s="42" customFormat="1" x14ac:dyDescent="0.25">
      <c r="A14" s="81">
        <v>2</v>
      </c>
      <c r="B14" s="263" t="s">
        <v>192</v>
      </c>
      <c r="C14" s="81" t="s">
        <v>1</v>
      </c>
      <c r="D14" s="81">
        <v>1</v>
      </c>
      <c r="E14" s="83">
        <v>5250</v>
      </c>
      <c r="F14" s="83">
        <v>1</v>
      </c>
      <c r="G14" s="83">
        <v>2464.9</v>
      </c>
      <c r="H14" s="83">
        <f t="shared" si="0"/>
        <v>0</v>
      </c>
      <c r="I14" s="83">
        <f t="shared" si="0"/>
        <v>-2785.1</v>
      </c>
    </row>
    <row r="15" spans="1:12" s="42" customFormat="1" x14ac:dyDescent="0.25">
      <c r="A15" s="81">
        <v>3</v>
      </c>
      <c r="B15" s="395"/>
      <c r="C15" s="81" t="s">
        <v>1</v>
      </c>
      <c r="D15" s="81"/>
      <c r="E15" s="83"/>
      <c r="F15" s="83"/>
      <c r="G15" s="83"/>
      <c r="H15" s="83">
        <f t="shared" si="0"/>
        <v>0</v>
      </c>
      <c r="I15" s="83">
        <f t="shared" si="0"/>
        <v>0</v>
      </c>
    </row>
    <row r="16" spans="1:12" s="200" customFormat="1" ht="23.25" customHeight="1" x14ac:dyDescent="0.25">
      <c r="A16" s="374">
        <v>2</v>
      </c>
      <c r="B16" s="393" t="s">
        <v>24</v>
      </c>
      <c r="C16" s="375">
        <v>4213</v>
      </c>
      <c r="D16" s="375"/>
      <c r="E16" s="376">
        <f>SUM(E19:E21)</f>
        <v>36.299999999999997</v>
      </c>
      <c r="F16" s="376"/>
      <c r="G16" s="376">
        <f>SUM(G19:G21)</f>
        <v>36.299999999999997</v>
      </c>
      <c r="H16" s="376">
        <f t="shared" si="0"/>
        <v>0</v>
      </c>
      <c r="I16" s="376">
        <f t="shared" si="0"/>
        <v>0</v>
      </c>
    </row>
    <row r="17" spans="1:9" s="42" customFormat="1" x14ac:dyDescent="0.25">
      <c r="A17" s="201"/>
      <c r="B17" s="377" t="s">
        <v>112</v>
      </c>
      <c r="C17" s="81"/>
      <c r="D17" s="81"/>
      <c r="E17" s="83"/>
      <c r="F17" s="83"/>
      <c r="G17" s="108"/>
      <c r="H17" s="108"/>
      <c r="I17" s="108"/>
    </row>
    <row r="18" spans="1:9" s="42" customFormat="1" x14ac:dyDescent="0.25">
      <c r="A18" s="390"/>
      <c r="B18" s="394" t="s">
        <v>273</v>
      </c>
      <c r="C18" s="81"/>
      <c r="D18" s="81"/>
      <c r="E18" s="83"/>
      <c r="F18" s="83"/>
      <c r="G18" s="108"/>
      <c r="H18" s="108"/>
      <c r="I18" s="108"/>
    </row>
    <row r="19" spans="1:9" s="42" customFormat="1" x14ac:dyDescent="0.25">
      <c r="A19" s="81">
        <v>1</v>
      </c>
      <c r="B19" s="481" t="s">
        <v>1078</v>
      </c>
      <c r="C19" s="81" t="s">
        <v>1</v>
      </c>
      <c r="D19" s="81">
        <v>1</v>
      </c>
      <c r="E19" s="83">
        <v>36.299999999999997</v>
      </c>
      <c r="F19" s="83">
        <v>1</v>
      </c>
      <c r="G19" s="83">
        <v>36.299999999999997</v>
      </c>
      <c r="H19" s="83">
        <f t="shared" ref="H19:I28" si="1">F19-D19</f>
        <v>0</v>
      </c>
      <c r="I19" s="83">
        <f t="shared" si="1"/>
        <v>0</v>
      </c>
    </row>
    <row r="20" spans="1:9" s="42" customFormat="1" x14ac:dyDescent="0.25">
      <c r="A20" s="81">
        <v>2</v>
      </c>
      <c r="B20" s="395"/>
      <c r="C20" s="81" t="s">
        <v>1</v>
      </c>
      <c r="D20" s="81"/>
      <c r="E20" s="83"/>
      <c r="F20" s="83"/>
      <c r="G20" s="83"/>
      <c r="H20" s="83">
        <f t="shared" si="1"/>
        <v>0</v>
      </c>
      <c r="I20" s="83">
        <f t="shared" si="1"/>
        <v>0</v>
      </c>
    </row>
    <row r="21" spans="1:9" s="42" customFormat="1" x14ac:dyDescent="0.25">
      <c r="A21" s="81">
        <v>3</v>
      </c>
      <c r="B21" s="395"/>
      <c r="C21" s="81" t="s">
        <v>1</v>
      </c>
      <c r="D21" s="81"/>
      <c r="E21" s="83"/>
      <c r="F21" s="83"/>
      <c r="G21" s="83"/>
      <c r="H21" s="83">
        <f t="shared" si="1"/>
        <v>0</v>
      </c>
      <c r="I21" s="83">
        <f t="shared" si="1"/>
        <v>0</v>
      </c>
    </row>
    <row r="22" spans="1:9" s="200" customFormat="1" ht="23.25" customHeight="1" x14ac:dyDescent="0.25">
      <c r="A22" s="374">
        <v>3</v>
      </c>
      <c r="B22" s="393" t="s">
        <v>26</v>
      </c>
      <c r="C22" s="375">
        <v>4214</v>
      </c>
      <c r="D22" s="375"/>
      <c r="E22" s="376">
        <f>SUM(E25:E28)</f>
        <v>5078.8999999999996</v>
      </c>
      <c r="F22" s="376"/>
      <c r="G22" s="376">
        <f>SUM(G25:G28)</f>
        <v>5062.2</v>
      </c>
      <c r="H22" s="376">
        <f t="shared" si="1"/>
        <v>0</v>
      </c>
      <c r="I22" s="376">
        <f t="shared" si="1"/>
        <v>-16.699999999999818</v>
      </c>
    </row>
    <row r="23" spans="1:9" s="42" customFormat="1" ht="14.25" x14ac:dyDescent="0.25">
      <c r="A23" s="201"/>
      <c r="B23" s="377" t="s">
        <v>112</v>
      </c>
      <c r="C23" s="81"/>
      <c r="D23" s="81"/>
      <c r="E23" s="83"/>
      <c r="F23" s="83"/>
      <c r="G23" s="108"/>
      <c r="H23" s="108"/>
      <c r="I23" s="376">
        <f t="shared" si="1"/>
        <v>0</v>
      </c>
    </row>
    <row r="24" spans="1:9" s="42" customFormat="1" ht="14.25" x14ac:dyDescent="0.25">
      <c r="A24" s="390"/>
      <c r="B24" s="394" t="s">
        <v>273</v>
      </c>
      <c r="C24" s="81"/>
      <c r="D24" s="81"/>
      <c r="E24" s="83"/>
      <c r="F24" s="83"/>
      <c r="G24" s="108"/>
      <c r="H24" s="108"/>
      <c r="I24" s="376">
        <f t="shared" si="1"/>
        <v>0</v>
      </c>
    </row>
    <row r="25" spans="1:9" s="42" customFormat="1" ht="14.25" x14ac:dyDescent="0.25">
      <c r="A25" s="81">
        <v>1</v>
      </c>
      <c r="B25" s="481" t="s">
        <v>1079</v>
      </c>
      <c r="C25" s="81" t="s">
        <v>1</v>
      </c>
      <c r="D25" s="81">
        <v>1</v>
      </c>
      <c r="E25" s="83">
        <v>240</v>
      </c>
      <c r="F25" s="83">
        <v>1</v>
      </c>
      <c r="G25" s="83">
        <v>240</v>
      </c>
      <c r="H25" s="83">
        <f t="shared" ref="H25:I29" si="2">F25-D25</f>
        <v>0</v>
      </c>
      <c r="I25" s="376">
        <f t="shared" si="1"/>
        <v>0</v>
      </c>
    </row>
    <row r="26" spans="1:9" s="42" customFormat="1" ht="14.25" x14ac:dyDescent="0.25">
      <c r="A26" s="81">
        <v>2</v>
      </c>
      <c r="B26" s="534" t="s">
        <v>1080</v>
      </c>
      <c r="C26" s="81" t="s">
        <v>1</v>
      </c>
      <c r="D26" s="81">
        <v>1</v>
      </c>
      <c r="E26" s="83">
        <v>2304</v>
      </c>
      <c r="F26" s="83">
        <v>1</v>
      </c>
      <c r="G26" s="83">
        <v>2304</v>
      </c>
      <c r="H26" s="83">
        <f t="shared" si="2"/>
        <v>0</v>
      </c>
      <c r="I26" s="376">
        <f t="shared" si="1"/>
        <v>0</v>
      </c>
    </row>
    <row r="27" spans="1:9" s="42" customFormat="1" ht="14.25" x14ac:dyDescent="0.25">
      <c r="A27" s="81">
        <v>3</v>
      </c>
      <c r="B27" s="534" t="s">
        <v>1081</v>
      </c>
      <c r="C27" s="81"/>
      <c r="D27" s="81">
        <v>1</v>
      </c>
      <c r="E27" s="83">
        <v>1994.9</v>
      </c>
      <c r="F27" s="83">
        <v>1</v>
      </c>
      <c r="G27" s="83">
        <v>1978.2</v>
      </c>
      <c r="H27" s="83">
        <f t="shared" si="2"/>
        <v>0</v>
      </c>
      <c r="I27" s="376">
        <f t="shared" si="1"/>
        <v>-16.700000000000045</v>
      </c>
    </row>
    <row r="28" spans="1:9" s="42" customFormat="1" ht="14.25" x14ac:dyDescent="0.25">
      <c r="A28" s="81">
        <v>4</v>
      </c>
      <c r="B28" s="534" t="s">
        <v>1082</v>
      </c>
      <c r="C28" s="81" t="s">
        <v>1</v>
      </c>
      <c r="D28" s="81">
        <v>1</v>
      </c>
      <c r="E28" s="83">
        <v>540</v>
      </c>
      <c r="F28" s="83">
        <v>1</v>
      </c>
      <c r="G28" s="83">
        <v>540</v>
      </c>
      <c r="H28" s="83">
        <f t="shared" si="2"/>
        <v>0</v>
      </c>
      <c r="I28" s="376">
        <f t="shared" si="1"/>
        <v>0</v>
      </c>
    </row>
    <row r="29" spans="1:9" s="200" customFormat="1" ht="23.25" customHeight="1" x14ac:dyDescent="0.25">
      <c r="A29" s="374">
        <v>45</v>
      </c>
      <c r="B29" s="393" t="s">
        <v>27</v>
      </c>
      <c r="C29" s="375">
        <v>4215</v>
      </c>
      <c r="D29" s="375"/>
      <c r="E29" s="376">
        <f>SUM(E32:E34)</f>
        <v>240</v>
      </c>
      <c r="F29" s="376"/>
      <c r="G29" s="376">
        <f>SUM(G32:G34)</f>
        <v>240</v>
      </c>
      <c r="H29" s="376">
        <f t="shared" si="2"/>
        <v>0</v>
      </c>
      <c r="I29" s="376">
        <f t="shared" si="2"/>
        <v>0</v>
      </c>
    </row>
    <row r="30" spans="1:9" s="42" customFormat="1" x14ac:dyDescent="0.25">
      <c r="A30" s="201"/>
      <c r="B30" s="377" t="s">
        <v>112</v>
      </c>
      <c r="C30" s="81"/>
      <c r="D30" s="81"/>
      <c r="E30" s="83"/>
      <c r="F30" s="83"/>
      <c r="G30" s="108"/>
      <c r="H30" s="108"/>
      <c r="I30" s="108"/>
    </row>
    <row r="31" spans="1:9" s="42" customFormat="1" x14ac:dyDescent="0.25">
      <c r="A31" s="390"/>
      <c r="B31" s="394" t="s">
        <v>273</v>
      </c>
      <c r="C31" s="81"/>
      <c r="D31" s="81"/>
      <c r="E31" s="83"/>
      <c r="F31" s="83"/>
      <c r="G31" s="108"/>
      <c r="H31" s="108"/>
      <c r="I31" s="108"/>
    </row>
    <row r="32" spans="1:9" s="42" customFormat="1" x14ac:dyDescent="0.25">
      <c r="A32" s="81">
        <v>1</v>
      </c>
      <c r="B32" s="534" t="s">
        <v>1083</v>
      </c>
      <c r="C32" s="81" t="s">
        <v>1</v>
      </c>
      <c r="D32" s="81">
        <v>1</v>
      </c>
      <c r="E32" s="83">
        <v>240</v>
      </c>
      <c r="F32" s="83">
        <v>1</v>
      </c>
      <c r="G32" s="83">
        <v>240</v>
      </c>
      <c r="H32" s="83">
        <f t="shared" ref="H32:I35" si="3">F32-D32</f>
        <v>0</v>
      </c>
      <c r="I32" s="83">
        <f t="shared" si="3"/>
        <v>0</v>
      </c>
    </row>
    <row r="33" spans="1:9" s="42" customFormat="1" x14ac:dyDescent="0.25">
      <c r="A33" s="81">
        <v>2</v>
      </c>
      <c r="B33" s="395"/>
      <c r="C33" s="81" t="s">
        <v>1</v>
      </c>
      <c r="D33" s="81"/>
      <c r="E33" s="83"/>
      <c r="F33" s="83"/>
      <c r="G33" s="83"/>
      <c r="H33" s="83">
        <f t="shared" si="3"/>
        <v>0</v>
      </c>
      <c r="I33" s="83">
        <f t="shared" si="3"/>
        <v>0</v>
      </c>
    </row>
    <row r="34" spans="1:9" s="42" customFormat="1" x14ac:dyDescent="0.25">
      <c r="A34" s="81">
        <v>3</v>
      </c>
      <c r="B34" s="395"/>
      <c r="C34" s="81" t="s">
        <v>1</v>
      </c>
      <c r="D34" s="81"/>
      <c r="E34" s="83"/>
      <c r="F34" s="83"/>
      <c r="G34" s="83"/>
      <c r="H34" s="83">
        <f t="shared" si="3"/>
        <v>0</v>
      </c>
      <c r="I34" s="83">
        <f t="shared" si="3"/>
        <v>0</v>
      </c>
    </row>
    <row r="35" spans="1:9" s="200" customFormat="1" ht="23.25" customHeight="1" x14ac:dyDescent="0.25">
      <c r="A35" s="374">
        <v>5</v>
      </c>
      <c r="B35" s="393" t="s">
        <v>28</v>
      </c>
      <c r="C35" s="375">
        <v>4216</v>
      </c>
      <c r="D35" s="375"/>
      <c r="E35" s="376">
        <f>SUM(E38:E40)</f>
        <v>12233.3</v>
      </c>
      <c r="F35" s="376"/>
      <c r="G35" s="376">
        <f>SUM(G38:G40)</f>
        <v>12233.3</v>
      </c>
      <c r="H35" s="376">
        <f t="shared" si="3"/>
        <v>0</v>
      </c>
      <c r="I35" s="376">
        <f t="shared" si="3"/>
        <v>0</v>
      </c>
    </row>
    <row r="36" spans="1:9" s="42" customFormat="1" x14ac:dyDescent="0.25">
      <c r="A36" s="201"/>
      <c r="B36" s="377" t="s">
        <v>112</v>
      </c>
      <c r="C36" s="81"/>
      <c r="D36" s="81"/>
      <c r="E36" s="83"/>
      <c r="F36" s="83"/>
      <c r="G36" s="108"/>
      <c r="H36" s="108"/>
      <c r="I36" s="108"/>
    </row>
    <row r="37" spans="1:9" s="42" customFormat="1" x14ac:dyDescent="0.25">
      <c r="A37" s="390"/>
      <c r="B37" s="394" t="s">
        <v>273</v>
      </c>
      <c r="C37" s="81"/>
      <c r="D37" s="81"/>
      <c r="E37" s="83"/>
      <c r="F37" s="83"/>
      <c r="G37" s="108"/>
      <c r="H37" s="108"/>
      <c r="I37" s="108"/>
    </row>
    <row r="38" spans="1:9" s="42" customFormat="1" x14ac:dyDescent="0.25">
      <c r="A38" s="81">
        <v>1</v>
      </c>
      <c r="B38" s="534" t="s">
        <v>1084</v>
      </c>
      <c r="C38" s="81" t="s">
        <v>1</v>
      </c>
      <c r="D38" s="81">
        <v>1</v>
      </c>
      <c r="E38" s="83">
        <v>12233.3</v>
      </c>
      <c r="F38" s="83">
        <v>1</v>
      </c>
      <c r="G38" s="83">
        <v>12233.3</v>
      </c>
      <c r="H38" s="83">
        <f t="shared" ref="H38:I41" si="4">F38-D38</f>
        <v>0</v>
      </c>
      <c r="I38" s="83">
        <f t="shared" si="4"/>
        <v>0</v>
      </c>
    </row>
    <row r="39" spans="1:9" s="42" customFormat="1" x14ac:dyDescent="0.25">
      <c r="A39" s="81">
        <v>2</v>
      </c>
      <c r="B39" s="395"/>
      <c r="C39" s="81" t="s">
        <v>1</v>
      </c>
      <c r="D39" s="81"/>
      <c r="E39" s="83"/>
      <c r="F39" s="83"/>
      <c r="G39" s="83"/>
      <c r="H39" s="83">
        <f t="shared" si="4"/>
        <v>0</v>
      </c>
      <c r="I39" s="83">
        <f t="shared" si="4"/>
        <v>0</v>
      </c>
    </row>
    <row r="40" spans="1:9" s="42" customFormat="1" x14ac:dyDescent="0.25">
      <c r="A40" s="81">
        <v>3</v>
      </c>
      <c r="B40" s="395"/>
      <c r="C40" s="81" t="s">
        <v>1</v>
      </c>
      <c r="D40" s="81"/>
      <c r="E40" s="83"/>
      <c r="F40" s="83"/>
      <c r="G40" s="83"/>
      <c r="H40" s="83">
        <f t="shared" si="4"/>
        <v>0</v>
      </c>
      <c r="I40" s="83">
        <f t="shared" si="4"/>
        <v>0</v>
      </c>
    </row>
    <row r="41" spans="1:9" s="200" customFormat="1" ht="23.25" customHeight="1" x14ac:dyDescent="0.25">
      <c r="A41" s="374">
        <v>7</v>
      </c>
      <c r="B41" s="393" t="s">
        <v>29</v>
      </c>
      <c r="C41" s="375">
        <v>4217</v>
      </c>
      <c r="D41" s="375"/>
      <c r="E41" s="376">
        <f>SUM(E44:E46)</f>
        <v>0</v>
      </c>
      <c r="F41" s="376"/>
      <c r="G41" s="376">
        <f>SUM(G44:G46)</f>
        <v>0</v>
      </c>
      <c r="H41" s="376">
        <f t="shared" si="4"/>
        <v>0</v>
      </c>
      <c r="I41" s="376">
        <f t="shared" si="4"/>
        <v>0</v>
      </c>
    </row>
    <row r="42" spans="1:9" s="42" customFormat="1" x14ac:dyDescent="0.25">
      <c r="A42" s="201"/>
      <c r="B42" s="377" t="s">
        <v>112</v>
      </c>
      <c r="C42" s="81"/>
      <c r="D42" s="81"/>
      <c r="E42" s="83"/>
      <c r="F42" s="83"/>
      <c r="G42" s="108"/>
      <c r="H42" s="108"/>
      <c r="I42" s="108"/>
    </row>
    <row r="43" spans="1:9" s="42" customFormat="1" x14ac:dyDescent="0.25">
      <c r="A43" s="390"/>
      <c r="B43" s="394" t="s">
        <v>273</v>
      </c>
      <c r="C43" s="81"/>
      <c r="D43" s="81"/>
      <c r="E43" s="83"/>
      <c r="F43" s="83"/>
      <c r="G43" s="108"/>
      <c r="H43" s="108"/>
      <c r="I43" s="108"/>
    </row>
    <row r="44" spans="1:9" s="42" customFormat="1" x14ac:dyDescent="0.25">
      <c r="A44" s="81">
        <v>1</v>
      </c>
      <c r="B44" s="394"/>
      <c r="C44" s="81" t="s">
        <v>1</v>
      </c>
      <c r="D44" s="81"/>
      <c r="E44" s="83"/>
      <c r="F44" s="83"/>
      <c r="G44" s="83"/>
      <c r="H44" s="83">
        <f t="shared" ref="H44:I47" si="5">F44-D44</f>
        <v>0</v>
      </c>
      <c r="I44" s="83">
        <f t="shared" si="5"/>
        <v>0</v>
      </c>
    </row>
    <row r="45" spans="1:9" s="42" customFormat="1" x14ac:dyDescent="0.25">
      <c r="A45" s="81">
        <v>2</v>
      </c>
      <c r="B45" s="395"/>
      <c r="C45" s="81" t="s">
        <v>1</v>
      </c>
      <c r="D45" s="81"/>
      <c r="E45" s="83"/>
      <c r="F45" s="83"/>
      <c r="G45" s="83"/>
      <c r="H45" s="83">
        <f t="shared" si="5"/>
        <v>0</v>
      </c>
      <c r="I45" s="83">
        <f t="shared" si="5"/>
        <v>0</v>
      </c>
    </row>
    <row r="46" spans="1:9" s="42" customFormat="1" x14ac:dyDescent="0.25">
      <c r="A46" s="81">
        <v>3</v>
      </c>
      <c r="B46" s="395"/>
      <c r="C46" s="81" t="s">
        <v>1</v>
      </c>
      <c r="D46" s="81"/>
      <c r="E46" s="83"/>
      <c r="F46" s="83"/>
      <c r="G46" s="83"/>
      <c r="H46" s="83">
        <f t="shared" si="5"/>
        <v>0</v>
      </c>
      <c r="I46" s="83">
        <f t="shared" si="5"/>
        <v>0</v>
      </c>
    </row>
    <row r="47" spans="1:9" s="200" customFormat="1" ht="23.25" customHeight="1" x14ac:dyDescent="0.25">
      <c r="A47" s="374">
        <v>8</v>
      </c>
      <c r="B47" s="393" t="s">
        <v>32</v>
      </c>
      <c r="C47" s="375">
        <v>4231</v>
      </c>
      <c r="D47" s="375"/>
      <c r="E47" s="376">
        <f>SUM(E50:E52)</f>
        <v>0</v>
      </c>
      <c r="F47" s="376"/>
      <c r="G47" s="376">
        <f>SUM(G50:G52)</f>
        <v>0</v>
      </c>
      <c r="H47" s="376">
        <f t="shared" si="5"/>
        <v>0</v>
      </c>
      <c r="I47" s="376">
        <f t="shared" si="5"/>
        <v>0</v>
      </c>
    </row>
    <row r="48" spans="1:9" s="42" customFormat="1" x14ac:dyDescent="0.25">
      <c r="A48" s="201"/>
      <c r="B48" s="377" t="s">
        <v>112</v>
      </c>
      <c r="C48" s="81"/>
      <c r="D48" s="81"/>
      <c r="E48" s="83"/>
      <c r="F48" s="83"/>
      <c r="G48" s="108"/>
      <c r="H48" s="108"/>
      <c r="I48" s="108"/>
    </row>
    <row r="49" spans="1:9" s="42" customFormat="1" x14ac:dyDescent="0.25">
      <c r="A49" s="390"/>
      <c r="B49" s="394" t="s">
        <v>273</v>
      </c>
      <c r="C49" s="81"/>
      <c r="D49" s="81"/>
      <c r="E49" s="83"/>
      <c r="F49" s="83"/>
      <c r="G49" s="108"/>
      <c r="H49" s="108"/>
      <c r="I49" s="108"/>
    </row>
    <row r="50" spans="1:9" s="42" customFormat="1" x14ac:dyDescent="0.25">
      <c r="A50" s="81">
        <v>1</v>
      </c>
      <c r="B50" s="394"/>
      <c r="C50" s="81" t="s">
        <v>1</v>
      </c>
      <c r="D50" s="81"/>
      <c r="E50" s="83"/>
      <c r="F50" s="83"/>
      <c r="G50" s="83"/>
      <c r="H50" s="83">
        <f t="shared" ref="H50:I52" si="6">F50-D50</f>
        <v>0</v>
      </c>
      <c r="I50" s="83">
        <f t="shared" si="6"/>
        <v>0</v>
      </c>
    </row>
    <row r="51" spans="1:9" s="42" customFormat="1" x14ac:dyDescent="0.25">
      <c r="A51" s="81">
        <v>2</v>
      </c>
      <c r="B51" s="395"/>
      <c r="C51" s="81" t="s">
        <v>1</v>
      </c>
      <c r="D51" s="81"/>
      <c r="E51" s="83"/>
      <c r="F51" s="83"/>
      <c r="G51" s="83"/>
      <c r="H51" s="83">
        <f t="shared" si="6"/>
        <v>0</v>
      </c>
      <c r="I51" s="83">
        <f t="shared" si="6"/>
        <v>0</v>
      </c>
    </row>
    <row r="52" spans="1:9" s="42" customFormat="1" x14ac:dyDescent="0.25">
      <c r="A52" s="81">
        <v>3</v>
      </c>
      <c r="B52" s="395"/>
      <c r="C52" s="81" t="s">
        <v>1</v>
      </c>
      <c r="D52" s="81"/>
      <c r="E52" s="83"/>
      <c r="F52" s="83"/>
      <c r="G52" s="83"/>
      <c r="H52" s="83">
        <f t="shared" si="6"/>
        <v>0</v>
      </c>
      <c r="I52" s="83">
        <f t="shared" si="6"/>
        <v>0</v>
      </c>
    </row>
    <row r="53" spans="1:9" s="200" customFormat="1" ht="23.25" customHeight="1" x14ac:dyDescent="0.25">
      <c r="A53" s="374">
        <v>9</v>
      </c>
      <c r="B53" s="393" t="s">
        <v>33</v>
      </c>
      <c r="C53" s="375">
        <v>4232</v>
      </c>
      <c r="D53" s="375"/>
      <c r="E53" s="376">
        <f>E56+E58+E57+E59+E60+E61+E62+E63+E64+E65</f>
        <v>2540</v>
      </c>
      <c r="F53" s="376"/>
      <c r="G53" s="376">
        <f>G56+G58+G57+G59+G60+G61+G62+G63+G64+G65</f>
        <v>3293</v>
      </c>
      <c r="H53" s="376"/>
      <c r="I53" s="376">
        <f>I56+I58+I57+I59+I60+I61+I62+I63+I64+I65</f>
        <v>753</v>
      </c>
    </row>
    <row r="54" spans="1:9" s="42" customFormat="1" x14ac:dyDescent="0.25">
      <c r="A54" s="201"/>
      <c r="B54" s="377" t="s">
        <v>112</v>
      </c>
      <c r="C54" s="81"/>
      <c r="D54" s="81"/>
      <c r="E54" s="83"/>
      <c r="F54" s="83"/>
      <c r="G54" s="108"/>
      <c r="H54" s="108"/>
      <c r="I54" s="108"/>
    </row>
    <row r="55" spans="1:9" s="42" customFormat="1" x14ac:dyDescent="0.25">
      <c r="A55" s="390"/>
      <c r="B55" s="394" t="s">
        <v>273</v>
      </c>
      <c r="C55" s="81"/>
      <c r="D55" s="81"/>
      <c r="E55" s="83"/>
      <c r="F55" s="83"/>
      <c r="G55" s="108"/>
      <c r="H55" s="108"/>
      <c r="I55" s="108"/>
    </row>
    <row r="56" spans="1:9" s="42" customFormat="1" ht="27" x14ac:dyDescent="0.25">
      <c r="A56" s="81">
        <v>1</v>
      </c>
      <c r="B56" s="535" t="s">
        <v>1085</v>
      </c>
      <c r="C56" s="81" t="s">
        <v>1</v>
      </c>
      <c r="D56" s="81">
        <v>1</v>
      </c>
      <c r="E56" s="536">
        <v>300</v>
      </c>
      <c r="F56" s="83">
        <v>1</v>
      </c>
      <c r="G56" s="83">
        <v>300</v>
      </c>
      <c r="H56" s="83">
        <f t="shared" ref="H56:I66" si="7">F56-D56</f>
        <v>0</v>
      </c>
      <c r="I56" s="83">
        <f t="shared" si="7"/>
        <v>0</v>
      </c>
    </row>
    <row r="57" spans="1:9" s="42" customFormat="1" ht="27" x14ac:dyDescent="0.25">
      <c r="A57" s="81">
        <v>2</v>
      </c>
      <c r="B57" s="535" t="s">
        <v>1086</v>
      </c>
      <c r="C57" s="81" t="s">
        <v>1</v>
      </c>
      <c r="D57" s="81">
        <v>0</v>
      </c>
      <c r="E57" s="536"/>
      <c r="F57" s="83">
        <v>1</v>
      </c>
      <c r="G57" s="83">
        <v>600</v>
      </c>
      <c r="H57" s="83">
        <f t="shared" si="7"/>
        <v>1</v>
      </c>
      <c r="I57" s="83">
        <f t="shared" si="7"/>
        <v>600</v>
      </c>
    </row>
    <row r="58" spans="1:9" s="42" customFormat="1" x14ac:dyDescent="0.25">
      <c r="A58" s="81">
        <v>3</v>
      </c>
      <c r="B58" s="535" t="s">
        <v>1087</v>
      </c>
      <c r="C58" s="81" t="s">
        <v>1</v>
      </c>
      <c r="D58" s="81">
        <v>1</v>
      </c>
      <c r="E58" s="536">
        <v>72</v>
      </c>
      <c r="F58" s="83">
        <v>1</v>
      </c>
      <c r="G58" s="83">
        <v>72</v>
      </c>
      <c r="H58" s="83">
        <f t="shared" si="7"/>
        <v>0</v>
      </c>
      <c r="I58" s="83">
        <f t="shared" si="7"/>
        <v>0</v>
      </c>
    </row>
    <row r="59" spans="1:9" s="42" customFormat="1" x14ac:dyDescent="0.25">
      <c r="A59" s="81">
        <v>4</v>
      </c>
      <c r="B59" s="535" t="s">
        <v>1088</v>
      </c>
      <c r="C59" s="81"/>
      <c r="D59" s="81">
        <v>1</v>
      </c>
      <c r="E59" s="536">
        <v>1440</v>
      </c>
      <c r="F59" s="83">
        <v>1</v>
      </c>
      <c r="G59" s="83">
        <v>1440</v>
      </c>
      <c r="H59" s="83">
        <f t="shared" si="7"/>
        <v>0</v>
      </c>
      <c r="I59" s="83">
        <f t="shared" si="7"/>
        <v>0</v>
      </c>
    </row>
    <row r="60" spans="1:9" s="42" customFormat="1" x14ac:dyDescent="0.25">
      <c r="A60" s="81">
        <v>5</v>
      </c>
      <c r="B60" s="535" t="s">
        <v>1089</v>
      </c>
      <c r="C60" s="81"/>
      <c r="D60" s="81">
        <v>1</v>
      </c>
      <c r="E60" s="536">
        <v>180</v>
      </c>
      <c r="F60" s="83">
        <v>1</v>
      </c>
      <c r="G60" s="83">
        <v>180</v>
      </c>
      <c r="H60" s="83">
        <f t="shared" si="7"/>
        <v>0</v>
      </c>
      <c r="I60" s="83">
        <f t="shared" si="7"/>
        <v>0</v>
      </c>
    </row>
    <row r="61" spans="1:9" s="42" customFormat="1" ht="27" x14ac:dyDescent="0.25">
      <c r="A61" s="81">
        <v>6</v>
      </c>
      <c r="B61" s="535" t="s">
        <v>1090</v>
      </c>
      <c r="C61" s="81"/>
      <c r="D61" s="81"/>
      <c r="E61" s="536"/>
      <c r="F61" s="83">
        <v>1</v>
      </c>
      <c r="G61" s="83">
        <v>120</v>
      </c>
      <c r="H61" s="83">
        <f t="shared" si="7"/>
        <v>1</v>
      </c>
      <c r="I61" s="83">
        <f t="shared" si="7"/>
        <v>120</v>
      </c>
    </row>
    <row r="62" spans="1:9" s="42" customFormat="1" ht="27" x14ac:dyDescent="0.25">
      <c r="A62" s="81">
        <v>7</v>
      </c>
      <c r="B62" s="535" t="s">
        <v>1091</v>
      </c>
      <c r="C62" s="81"/>
      <c r="D62" s="81">
        <v>1</v>
      </c>
      <c r="E62" s="536">
        <v>367</v>
      </c>
      <c r="F62" s="83">
        <v>1</v>
      </c>
      <c r="G62" s="83">
        <v>400</v>
      </c>
      <c r="H62" s="83">
        <f t="shared" si="7"/>
        <v>0</v>
      </c>
      <c r="I62" s="83">
        <f t="shared" si="7"/>
        <v>33</v>
      </c>
    </row>
    <row r="63" spans="1:9" s="42" customFormat="1" ht="27" x14ac:dyDescent="0.25">
      <c r="A63" s="81">
        <v>8</v>
      </c>
      <c r="B63" s="535" t="s">
        <v>1094</v>
      </c>
      <c r="C63" s="81"/>
      <c r="D63" s="81">
        <v>1</v>
      </c>
      <c r="E63" s="83">
        <v>145</v>
      </c>
      <c r="F63" s="83">
        <v>1</v>
      </c>
      <c r="G63" s="83">
        <v>145</v>
      </c>
      <c r="H63" s="83">
        <f t="shared" si="7"/>
        <v>0</v>
      </c>
      <c r="I63" s="83">
        <f t="shared" si="7"/>
        <v>0</v>
      </c>
    </row>
    <row r="64" spans="1:9" s="42" customFormat="1" x14ac:dyDescent="0.25">
      <c r="A64" s="81">
        <v>9</v>
      </c>
      <c r="B64" s="535" t="s">
        <v>1095</v>
      </c>
      <c r="C64" s="81"/>
      <c r="D64" s="81">
        <v>1</v>
      </c>
      <c r="E64" s="83">
        <v>36</v>
      </c>
      <c r="F64" s="83">
        <v>1</v>
      </c>
      <c r="G64" s="83">
        <v>36</v>
      </c>
      <c r="H64" s="83">
        <f t="shared" si="7"/>
        <v>0</v>
      </c>
      <c r="I64" s="83">
        <f t="shared" si="7"/>
        <v>0</v>
      </c>
    </row>
    <row r="65" spans="1:9" s="42" customFormat="1" x14ac:dyDescent="0.25">
      <c r="A65" s="81">
        <v>10</v>
      </c>
      <c r="B65" s="535"/>
      <c r="C65" s="81"/>
      <c r="D65" s="81"/>
      <c r="E65" s="83"/>
      <c r="F65" s="83"/>
      <c r="G65" s="83"/>
      <c r="H65" s="83"/>
      <c r="I65" s="83"/>
    </row>
    <row r="66" spans="1:9" s="200" customFormat="1" ht="23.25" customHeight="1" x14ac:dyDescent="0.25">
      <c r="A66" s="374">
        <v>10</v>
      </c>
      <c r="B66" s="393" t="s">
        <v>34</v>
      </c>
      <c r="C66" s="375">
        <v>4234</v>
      </c>
      <c r="D66" s="375"/>
      <c r="E66" s="376">
        <v>200</v>
      </c>
      <c r="F66" s="376"/>
      <c r="G66" s="376">
        <v>200</v>
      </c>
      <c r="H66" s="376">
        <f t="shared" si="7"/>
        <v>0</v>
      </c>
      <c r="I66" s="376">
        <f t="shared" si="7"/>
        <v>0</v>
      </c>
    </row>
    <row r="67" spans="1:9" s="42" customFormat="1" x14ac:dyDescent="0.25">
      <c r="A67" s="201"/>
      <c r="B67" s="377" t="s">
        <v>112</v>
      </c>
      <c r="C67" s="81"/>
      <c r="D67" s="81"/>
      <c r="E67" s="83"/>
      <c r="F67" s="83"/>
      <c r="G67" s="108"/>
      <c r="H67" s="108"/>
      <c r="I67" s="108"/>
    </row>
    <row r="68" spans="1:9" s="42" customFormat="1" x14ac:dyDescent="0.25">
      <c r="A68" s="390"/>
      <c r="B68" s="394" t="s">
        <v>273</v>
      </c>
      <c r="C68" s="81"/>
      <c r="D68" s="81"/>
      <c r="E68" s="83"/>
      <c r="F68" s="83"/>
      <c r="G68" s="108"/>
      <c r="H68" s="108"/>
      <c r="I68" s="108"/>
    </row>
    <row r="69" spans="1:9" s="42" customFormat="1" ht="27" x14ac:dyDescent="0.25">
      <c r="A69" s="81">
        <v>1</v>
      </c>
      <c r="B69" s="535" t="s">
        <v>1092</v>
      </c>
      <c r="C69" s="81" t="s">
        <v>1</v>
      </c>
      <c r="D69" s="81">
        <v>1</v>
      </c>
      <c r="E69" s="83">
        <v>200</v>
      </c>
      <c r="F69" s="83">
        <v>1</v>
      </c>
      <c r="G69" s="83">
        <v>200</v>
      </c>
      <c r="H69" s="376">
        <f t="shared" ref="H69:H82" si="8">F69-D69</f>
        <v>0</v>
      </c>
      <c r="I69" s="376">
        <f t="shared" ref="I69:I82" si="9">G69-E69</f>
        <v>0</v>
      </c>
    </row>
    <row r="70" spans="1:9" s="42" customFormat="1" ht="14.25" x14ac:dyDescent="0.25">
      <c r="A70" s="81">
        <v>2</v>
      </c>
      <c r="B70" s="395"/>
      <c r="C70" s="81" t="s">
        <v>1</v>
      </c>
      <c r="D70" s="81"/>
      <c r="E70" s="83"/>
      <c r="F70" s="83"/>
      <c r="G70" s="83"/>
      <c r="H70" s="376">
        <f t="shared" si="8"/>
        <v>0</v>
      </c>
      <c r="I70" s="376">
        <f t="shared" si="9"/>
        <v>0</v>
      </c>
    </row>
    <row r="71" spans="1:9" s="42" customFormat="1" ht="14.25" x14ac:dyDescent="0.25">
      <c r="A71" s="374">
        <v>11</v>
      </c>
      <c r="B71" s="393" t="s">
        <v>37</v>
      </c>
      <c r="C71" s="375">
        <v>4237</v>
      </c>
      <c r="D71" s="375"/>
      <c r="E71" s="376">
        <v>300</v>
      </c>
      <c r="F71" s="376"/>
      <c r="G71" s="376">
        <v>300</v>
      </c>
      <c r="H71" s="376">
        <f t="shared" si="8"/>
        <v>0</v>
      </c>
      <c r="I71" s="376">
        <f t="shared" si="9"/>
        <v>0</v>
      </c>
    </row>
    <row r="72" spans="1:9" s="42" customFormat="1" ht="14.25" x14ac:dyDescent="0.25">
      <c r="A72" s="201"/>
      <c r="B72" s="377" t="s">
        <v>112</v>
      </c>
      <c r="C72" s="81"/>
      <c r="D72" s="81"/>
      <c r="E72" s="83"/>
      <c r="F72" s="83"/>
      <c r="G72" s="108"/>
      <c r="H72" s="376">
        <f t="shared" si="8"/>
        <v>0</v>
      </c>
      <c r="I72" s="376">
        <f t="shared" si="9"/>
        <v>0</v>
      </c>
    </row>
    <row r="73" spans="1:9" s="42" customFormat="1" ht="14.25" x14ac:dyDescent="0.25">
      <c r="A73" s="390"/>
      <c r="B73" s="394" t="s">
        <v>273</v>
      </c>
      <c r="C73" s="81"/>
      <c r="D73" s="81"/>
      <c r="E73" s="83"/>
      <c r="F73" s="83"/>
      <c r="G73" s="108"/>
      <c r="H73" s="376">
        <f t="shared" si="8"/>
        <v>0</v>
      </c>
      <c r="I73" s="376">
        <f t="shared" si="9"/>
        <v>0</v>
      </c>
    </row>
    <row r="74" spans="1:9" s="42" customFormat="1" ht="14.25" x14ac:dyDescent="0.25">
      <c r="A74" s="81">
        <v>1</v>
      </c>
      <c r="B74" s="395" t="s">
        <v>1093</v>
      </c>
      <c r="C74" s="81"/>
      <c r="D74" s="81">
        <v>1</v>
      </c>
      <c r="E74" s="83">
        <v>300</v>
      </c>
      <c r="F74" s="83">
        <v>1</v>
      </c>
      <c r="G74" s="83">
        <v>300</v>
      </c>
      <c r="H74" s="376">
        <f t="shared" si="8"/>
        <v>0</v>
      </c>
      <c r="I74" s="376">
        <f t="shared" si="9"/>
        <v>0</v>
      </c>
    </row>
    <row r="75" spans="1:9" s="42" customFormat="1" ht="14.25" x14ac:dyDescent="0.25">
      <c r="A75" s="81"/>
      <c r="B75" s="395"/>
      <c r="C75" s="81"/>
      <c r="D75" s="81"/>
      <c r="E75" s="83"/>
      <c r="F75" s="83"/>
      <c r="G75" s="83"/>
      <c r="H75" s="376">
        <f t="shared" si="8"/>
        <v>0</v>
      </c>
      <c r="I75" s="376">
        <f t="shared" si="9"/>
        <v>0</v>
      </c>
    </row>
    <row r="76" spans="1:9" s="42" customFormat="1" ht="14.25" x14ac:dyDescent="0.25">
      <c r="A76" s="374">
        <v>12</v>
      </c>
      <c r="B76" s="393" t="s">
        <v>38</v>
      </c>
      <c r="C76" s="375">
        <v>4239</v>
      </c>
      <c r="D76" s="375"/>
      <c r="E76" s="376">
        <v>450</v>
      </c>
      <c r="F76" s="376"/>
      <c r="G76" s="376">
        <v>450</v>
      </c>
      <c r="H76" s="376">
        <f t="shared" si="8"/>
        <v>0</v>
      </c>
      <c r="I76" s="376">
        <f t="shared" si="9"/>
        <v>0</v>
      </c>
    </row>
    <row r="77" spans="1:9" s="42" customFormat="1" ht="14.25" x14ac:dyDescent="0.25">
      <c r="A77" s="201"/>
      <c r="B77" s="377" t="s">
        <v>112</v>
      </c>
      <c r="C77" s="81"/>
      <c r="D77" s="81"/>
      <c r="E77" s="83"/>
      <c r="F77" s="83"/>
      <c r="G77" s="108"/>
      <c r="H77" s="376">
        <f t="shared" si="8"/>
        <v>0</v>
      </c>
      <c r="I77" s="376">
        <f t="shared" si="9"/>
        <v>0</v>
      </c>
    </row>
    <row r="78" spans="1:9" s="42" customFormat="1" ht="14.25" x14ac:dyDescent="0.25">
      <c r="A78" s="81">
        <v>1</v>
      </c>
      <c r="B78" s="537" t="s">
        <v>1096</v>
      </c>
      <c r="C78" s="81"/>
      <c r="D78" s="81">
        <v>1</v>
      </c>
      <c r="E78" s="83">
        <v>450</v>
      </c>
      <c r="F78" s="83">
        <v>1</v>
      </c>
      <c r="G78" s="83">
        <v>450</v>
      </c>
      <c r="H78" s="376">
        <f t="shared" si="8"/>
        <v>0</v>
      </c>
      <c r="I78" s="376">
        <f t="shared" si="9"/>
        <v>0</v>
      </c>
    </row>
    <row r="79" spans="1:9" s="42" customFormat="1" ht="14.25" x14ac:dyDescent="0.25">
      <c r="A79" s="81"/>
      <c r="B79" s="481"/>
      <c r="C79" s="81"/>
      <c r="D79" s="81"/>
      <c r="E79" s="83"/>
      <c r="F79" s="83"/>
      <c r="G79" s="83"/>
      <c r="H79" s="376">
        <f t="shared" si="8"/>
        <v>0</v>
      </c>
      <c r="I79" s="376">
        <f t="shared" si="9"/>
        <v>0</v>
      </c>
    </row>
    <row r="80" spans="1:9" s="42" customFormat="1" ht="28.5" x14ac:dyDescent="0.25">
      <c r="A80" s="374">
        <v>13</v>
      </c>
      <c r="B80" s="538" t="s">
        <v>41</v>
      </c>
      <c r="C80" s="374">
        <v>4252</v>
      </c>
      <c r="D80" s="375"/>
      <c r="E80" s="376">
        <v>1600</v>
      </c>
      <c r="F80" s="376"/>
      <c r="G80" s="376">
        <v>1600</v>
      </c>
      <c r="H80" s="376">
        <f t="shared" si="8"/>
        <v>0</v>
      </c>
      <c r="I80" s="376">
        <f t="shared" si="9"/>
        <v>0</v>
      </c>
    </row>
    <row r="81" spans="1:9" s="42" customFormat="1" ht="14.25" x14ac:dyDescent="0.25">
      <c r="A81" s="201"/>
      <c r="B81" s="377" t="s">
        <v>112</v>
      </c>
      <c r="C81" s="81"/>
      <c r="D81" s="81"/>
      <c r="E81" s="83"/>
      <c r="F81" s="83"/>
      <c r="G81" s="108"/>
      <c r="H81" s="376">
        <f t="shared" si="8"/>
        <v>0</v>
      </c>
      <c r="I81" s="376">
        <f t="shared" si="9"/>
        <v>0</v>
      </c>
    </row>
    <row r="82" spans="1:9" s="42" customFormat="1" ht="14.25" x14ac:dyDescent="0.25">
      <c r="A82" s="81">
        <v>1</v>
      </c>
      <c r="B82" s="534" t="s">
        <v>42</v>
      </c>
      <c r="C82" s="81"/>
      <c r="D82" s="81">
        <v>1</v>
      </c>
      <c r="E82" s="83">
        <v>1200</v>
      </c>
      <c r="F82" s="83">
        <v>1</v>
      </c>
      <c r="G82" s="83">
        <v>1200</v>
      </c>
      <c r="H82" s="376">
        <f t="shared" si="8"/>
        <v>0</v>
      </c>
      <c r="I82" s="376">
        <f t="shared" si="9"/>
        <v>0</v>
      </c>
    </row>
    <row r="83" spans="1:9" s="42" customFormat="1" ht="14.25" x14ac:dyDescent="0.25">
      <c r="A83" s="81">
        <v>2</v>
      </c>
      <c r="B83" s="534" t="s">
        <v>43</v>
      </c>
      <c r="C83" s="81"/>
      <c r="D83" s="81">
        <v>1</v>
      </c>
      <c r="E83" s="83">
        <v>400</v>
      </c>
      <c r="F83" s="83">
        <v>1</v>
      </c>
      <c r="G83" s="83">
        <v>400</v>
      </c>
      <c r="H83" s="376">
        <f>F83-D83</f>
        <v>0</v>
      </c>
      <c r="I83" s="376">
        <f>G83-E83</f>
        <v>0</v>
      </c>
    </row>
    <row r="84" spans="1:9" s="42" customFormat="1" ht="14.25" x14ac:dyDescent="0.25">
      <c r="A84" s="81"/>
      <c r="B84" s="395"/>
      <c r="C84" s="81"/>
      <c r="D84" s="81"/>
      <c r="E84" s="83"/>
      <c r="F84" s="83"/>
      <c r="G84" s="83"/>
      <c r="H84" s="376">
        <f t="shared" ref="H84:H108" si="10">F84-D84</f>
        <v>0</v>
      </c>
      <c r="I84" s="376">
        <f t="shared" ref="I84:I108" si="11">G84-E84</f>
        <v>0</v>
      </c>
    </row>
    <row r="85" spans="1:9" s="42" customFormat="1" ht="14.25" x14ac:dyDescent="0.25">
      <c r="A85" s="81">
        <v>14</v>
      </c>
      <c r="B85" s="374" t="s">
        <v>44</v>
      </c>
      <c r="C85" s="374">
        <v>4261</v>
      </c>
      <c r="D85" s="81"/>
      <c r="E85" s="83">
        <f>E87+E88+E89+E90+E91+E92+E93+E94+E95+E96+E97+E98+E99+E100+E101+E102+E103+E104+E105+E106+E107+E108</f>
        <v>1781</v>
      </c>
      <c r="F85" s="83"/>
      <c r="G85" s="83">
        <f>G87+G88+G89+G90+G91+G92+G93+G94+G95+G96+G97+G98+G99+G100+G101+G102+G103+G104+G105+G106+G107+G108</f>
        <v>1661</v>
      </c>
      <c r="H85" s="376">
        <f t="shared" si="10"/>
        <v>0</v>
      </c>
      <c r="I85" s="376">
        <f t="shared" si="11"/>
        <v>-120</v>
      </c>
    </row>
    <row r="86" spans="1:9" s="42" customFormat="1" ht="14.25" x14ac:dyDescent="0.25">
      <c r="A86" s="81"/>
      <c r="B86" s="539" t="s">
        <v>273</v>
      </c>
      <c r="C86" s="108"/>
      <c r="D86" s="81"/>
      <c r="E86" s="83"/>
      <c r="F86" s="83"/>
      <c r="G86" s="83"/>
      <c r="H86" s="376">
        <f t="shared" si="10"/>
        <v>0</v>
      </c>
      <c r="I86" s="376">
        <f t="shared" si="11"/>
        <v>0</v>
      </c>
    </row>
    <row r="87" spans="1:9" s="42" customFormat="1" ht="14.25" x14ac:dyDescent="0.25">
      <c r="A87" s="390">
        <v>1</v>
      </c>
      <c r="B87" s="534" t="s">
        <v>1097</v>
      </c>
      <c r="C87" s="81"/>
      <c r="D87" s="81">
        <v>1750</v>
      </c>
      <c r="E87" s="540">
        <v>1120</v>
      </c>
      <c r="F87" s="81">
        <v>1700</v>
      </c>
      <c r="G87" s="540">
        <v>1000</v>
      </c>
      <c r="H87" s="376">
        <f t="shared" si="10"/>
        <v>-50</v>
      </c>
      <c r="I87" s="376">
        <f t="shared" si="11"/>
        <v>-120</v>
      </c>
    </row>
    <row r="88" spans="1:9" s="42" customFormat="1" ht="14.25" x14ac:dyDescent="0.25">
      <c r="A88" s="390">
        <v>2</v>
      </c>
      <c r="B88" s="534" t="s">
        <v>1098</v>
      </c>
      <c r="C88" s="81"/>
      <c r="D88" s="81">
        <v>300</v>
      </c>
      <c r="E88" s="540">
        <v>18</v>
      </c>
      <c r="F88" s="81">
        <v>300</v>
      </c>
      <c r="G88" s="540">
        <v>18</v>
      </c>
      <c r="H88" s="376">
        <f t="shared" si="10"/>
        <v>0</v>
      </c>
      <c r="I88" s="376">
        <f t="shared" si="11"/>
        <v>0</v>
      </c>
    </row>
    <row r="89" spans="1:9" s="42" customFormat="1" ht="14.25" x14ac:dyDescent="0.25">
      <c r="A89" s="390">
        <v>3</v>
      </c>
      <c r="B89" s="534" t="s">
        <v>1110</v>
      </c>
      <c r="C89" s="81"/>
      <c r="D89" s="81">
        <v>100</v>
      </c>
      <c r="E89" s="540">
        <v>14</v>
      </c>
      <c r="F89" s="81">
        <v>100</v>
      </c>
      <c r="G89" s="540">
        <v>14</v>
      </c>
      <c r="H89" s="376">
        <f t="shared" si="10"/>
        <v>0</v>
      </c>
      <c r="I89" s="376">
        <f t="shared" si="11"/>
        <v>0</v>
      </c>
    </row>
    <row r="90" spans="1:9" s="42" customFormat="1" ht="14.25" x14ac:dyDescent="0.25">
      <c r="A90" s="390">
        <v>4</v>
      </c>
      <c r="B90" s="534" t="s">
        <v>1099</v>
      </c>
      <c r="C90" s="81"/>
      <c r="D90" s="81">
        <v>100</v>
      </c>
      <c r="E90" s="540">
        <v>14</v>
      </c>
      <c r="F90" s="81">
        <v>100</v>
      </c>
      <c r="G90" s="540">
        <v>14</v>
      </c>
      <c r="H90" s="376">
        <f t="shared" si="10"/>
        <v>0</v>
      </c>
      <c r="I90" s="376">
        <f t="shared" si="11"/>
        <v>0</v>
      </c>
    </row>
    <row r="91" spans="1:9" s="42" customFormat="1" ht="14.25" x14ac:dyDescent="0.25">
      <c r="A91" s="390">
        <v>5</v>
      </c>
      <c r="B91" s="534" t="s">
        <v>1100</v>
      </c>
      <c r="C91" s="81"/>
      <c r="D91" s="81">
        <v>40</v>
      </c>
      <c r="E91" s="540">
        <v>52</v>
      </c>
      <c r="F91" s="81">
        <v>40</v>
      </c>
      <c r="G91" s="540">
        <v>52</v>
      </c>
      <c r="H91" s="376">
        <f t="shared" si="10"/>
        <v>0</v>
      </c>
      <c r="I91" s="376">
        <f t="shared" si="11"/>
        <v>0</v>
      </c>
    </row>
    <row r="92" spans="1:9" s="42" customFormat="1" ht="14.25" x14ac:dyDescent="0.25">
      <c r="A92" s="390">
        <v>6</v>
      </c>
      <c r="B92" s="534" t="s">
        <v>1111</v>
      </c>
      <c r="C92" s="81"/>
      <c r="D92" s="81">
        <v>20</v>
      </c>
      <c r="E92" s="540">
        <v>30</v>
      </c>
      <c r="F92" s="81">
        <v>20</v>
      </c>
      <c r="G92" s="540">
        <v>30</v>
      </c>
      <c r="H92" s="376">
        <f t="shared" si="10"/>
        <v>0</v>
      </c>
      <c r="I92" s="376">
        <f t="shared" si="11"/>
        <v>0</v>
      </c>
    </row>
    <row r="93" spans="1:9" s="42" customFormat="1" ht="14.25" x14ac:dyDescent="0.25">
      <c r="A93" s="390">
        <v>7</v>
      </c>
      <c r="B93" s="534" t="s">
        <v>1101</v>
      </c>
      <c r="C93" s="81"/>
      <c r="D93" s="81">
        <v>713</v>
      </c>
      <c r="E93" s="540">
        <v>42.6</v>
      </c>
      <c r="F93" s="81">
        <v>713</v>
      </c>
      <c r="G93" s="540">
        <v>42.6</v>
      </c>
      <c r="H93" s="376">
        <f t="shared" si="10"/>
        <v>0</v>
      </c>
      <c r="I93" s="376">
        <f t="shared" si="11"/>
        <v>0</v>
      </c>
    </row>
    <row r="94" spans="1:9" s="42" customFormat="1" ht="14.25" x14ac:dyDescent="0.25">
      <c r="A94" s="390">
        <v>8</v>
      </c>
      <c r="B94" s="534" t="s">
        <v>1102</v>
      </c>
      <c r="C94" s="81"/>
      <c r="D94" s="81">
        <v>100</v>
      </c>
      <c r="E94" s="540">
        <v>15</v>
      </c>
      <c r="F94" s="81">
        <v>100</v>
      </c>
      <c r="G94" s="540">
        <v>15</v>
      </c>
      <c r="H94" s="376">
        <f t="shared" si="10"/>
        <v>0</v>
      </c>
      <c r="I94" s="376">
        <f t="shared" si="11"/>
        <v>0</v>
      </c>
    </row>
    <row r="95" spans="1:9" s="42" customFormat="1" ht="14.25" x14ac:dyDescent="0.25">
      <c r="A95" s="390">
        <v>9</v>
      </c>
      <c r="B95" s="534" t="s">
        <v>1103</v>
      </c>
      <c r="C95" s="81"/>
      <c r="D95" s="81">
        <v>400</v>
      </c>
      <c r="E95" s="540">
        <v>40</v>
      </c>
      <c r="F95" s="81">
        <v>400</v>
      </c>
      <c r="G95" s="540">
        <v>40</v>
      </c>
      <c r="H95" s="376">
        <f t="shared" si="10"/>
        <v>0</v>
      </c>
      <c r="I95" s="376">
        <f t="shared" si="11"/>
        <v>0</v>
      </c>
    </row>
    <row r="96" spans="1:9" s="42" customFormat="1" ht="14.25" x14ac:dyDescent="0.25">
      <c r="A96" s="390">
        <v>10</v>
      </c>
      <c r="B96" s="534" t="s">
        <v>1112</v>
      </c>
      <c r="C96" s="81"/>
      <c r="D96" s="81">
        <v>20</v>
      </c>
      <c r="E96" s="540">
        <v>40</v>
      </c>
      <c r="F96" s="81">
        <v>20</v>
      </c>
      <c r="G96" s="540">
        <v>40</v>
      </c>
      <c r="H96" s="376">
        <f t="shared" si="10"/>
        <v>0</v>
      </c>
      <c r="I96" s="376">
        <f t="shared" si="11"/>
        <v>0</v>
      </c>
    </row>
    <row r="97" spans="1:9" s="42" customFormat="1" ht="14.25" x14ac:dyDescent="0.25">
      <c r="A97" s="390">
        <v>11</v>
      </c>
      <c r="B97" s="534" t="s">
        <v>1104</v>
      </c>
      <c r="C97" s="81"/>
      <c r="D97" s="81">
        <v>19</v>
      </c>
      <c r="E97" s="540">
        <v>88</v>
      </c>
      <c r="F97" s="81">
        <v>19</v>
      </c>
      <c r="G97" s="540">
        <v>88</v>
      </c>
      <c r="H97" s="376">
        <f t="shared" si="10"/>
        <v>0</v>
      </c>
      <c r="I97" s="376">
        <f t="shared" si="11"/>
        <v>0</v>
      </c>
    </row>
    <row r="98" spans="1:9" s="42" customFormat="1" ht="14.25" x14ac:dyDescent="0.25">
      <c r="A98" s="390">
        <v>12</v>
      </c>
      <c r="B98" s="534" t="s">
        <v>1105</v>
      </c>
      <c r="C98" s="81"/>
      <c r="D98" s="81">
        <v>2000</v>
      </c>
      <c r="E98" s="540">
        <v>18</v>
      </c>
      <c r="F98" s="81">
        <v>2000</v>
      </c>
      <c r="G98" s="540">
        <v>18</v>
      </c>
      <c r="H98" s="376">
        <f t="shared" si="10"/>
        <v>0</v>
      </c>
      <c r="I98" s="376">
        <f t="shared" si="11"/>
        <v>0</v>
      </c>
    </row>
    <row r="99" spans="1:9" s="42" customFormat="1" ht="14.25" x14ac:dyDescent="0.25">
      <c r="A99" s="390">
        <v>13</v>
      </c>
      <c r="B99" s="534" t="s">
        <v>1113</v>
      </c>
      <c r="C99" s="81"/>
      <c r="D99" s="81">
        <v>65</v>
      </c>
      <c r="E99" s="540">
        <v>78</v>
      </c>
      <c r="F99" s="81">
        <v>65</v>
      </c>
      <c r="G99" s="540">
        <v>78</v>
      </c>
      <c r="H99" s="376">
        <f t="shared" si="10"/>
        <v>0</v>
      </c>
      <c r="I99" s="376">
        <f t="shared" si="11"/>
        <v>0</v>
      </c>
    </row>
    <row r="100" spans="1:9" s="42" customFormat="1" ht="14.25" x14ac:dyDescent="0.25">
      <c r="A100" s="390">
        <v>14</v>
      </c>
      <c r="B100" s="534" t="s">
        <v>1106</v>
      </c>
      <c r="C100" s="81"/>
      <c r="D100" s="81">
        <v>30</v>
      </c>
      <c r="E100" s="540">
        <v>90</v>
      </c>
      <c r="F100" s="81">
        <v>30</v>
      </c>
      <c r="G100" s="540">
        <v>90</v>
      </c>
      <c r="H100" s="376">
        <f t="shared" si="10"/>
        <v>0</v>
      </c>
      <c r="I100" s="376">
        <f t="shared" si="11"/>
        <v>0</v>
      </c>
    </row>
    <row r="101" spans="1:9" s="42" customFormat="1" ht="14.25" x14ac:dyDescent="0.25">
      <c r="A101" s="390">
        <v>15</v>
      </c>
      <c r="B101" s="534" t="s">
        <v>1118</v>
      </c>
      <c r="C101" s="81"/>
      <c r="D101" s="81">
        <v>400</v>
      </c>
      <c r="E101" s="540">
        <v>36</v>
      </c>
      <c r="F101" s="81">
        <v>400</v>
      </c>
      <c r="G101" s="540">
        <v>36</v>
      </c>
      <c r="H101" s="376">
        <f t="shared" si="10"/>
        <v>0</v>
      </c>
      <c r="I101" s="376">
        <f t="shared" si="11"/>
        <v>0</v>
      </c>
    </row>
    <row r="102" spans="1:9" s="42" customFormat="1" ht="14.25" x14ac:dyDescent="0.25">
      <c r="A102" s="390">
        <v>16</v>
      </c>
      <c r="B102" s="534" t="s">
        <v>1114</v>
      </c>
      <c r="C102" s="81"/>
      <c r="D102" s="81">
        <v>30</v>
      </c>
      <c r="E102" s="540">
        <v>6</v>
      </c>
      <c r="F102" s="81">
        <v>30</v>
      </c>
      <c r="G102" s="540">
        <v>6</v>
      </c>
      <c r="H102" s="376">
        <f t="shared" si="10"/>
        <v>0</v>
      </c>
      <c r="I102" s="376">
        <f t="shared" si="11"/>
        <v>0</v>
      </c>
    </row>
    <row r="103" spans="1:9" s="42" customFormat="1" ht="14.25" x14ac:dyDescent="0.25">
      <c r="A103" s="390">
        <v>17</v>
      </c>
      <c r="B103" s="534" t="s">
        <v>1115</v>
      </c>
      <c r="C103" s="81"/>
      <c r="D103" s="81">
        <v>200</v>
      </c>
      <c r="E103" s="540">
        <v>10</v>
      </c>
      <c r="F103" s="81">
        <v>200</v>
      </c>
      <c r="G103" s="540">
        <v>10</v>
      </c>
      <c r="H103" s="376">
        <f t="shared" si="10"/>
        <v>0</v>
      </c>
      <c r="I103" s="376">
        <f t="shared" si="11"/>
        <v>0</v>
      </c>
    </row>
    <row r="104" spans="1:9" s="42" customFormat="1" ht="14.25" x14ac:dyDescent="0.25">
      <c r="A104" s="390">
        <v>18</v>
      </c>
      <c r="B104" s="534" t="s">
        <v>1116</v>
      </c>
      <c r="C104" s="81"/>
      <c r="D104" s="81">
        <v>10</v>
      </c>
      <c r="E104" s="540">
        <v>1.4</v>
      </c>
      <c r="F104" s="81">
        <v>10</v>
      </c>
      <c r="G104" s="540">
        <v>1.4</v>
      </c>
      <c r="H104" s="376">
        <f t="shared" si="10"/>
        <v>0</v>
      </c>
      <c r="I104" s="376">
        <f t="shared" si="11"/>
        <v>0</v>
      </c>
    </row>
    <row r="105" spans="1:9" s="42" customFormat="1" ht="14.25" x14ac:dyDescent="0.25">
      <c r="A105" s="81">
        <v>19</v>
      </c>
      <c r="B105" s="534" t="s">
        <v>1107</v>
      </c>
      <c r="C105" s="81"/>
      <c r="D105" s="81">
        <v>200</v>
      </c>
      <c r="E105" s="540">
        <v>20</v>
      </c>
      <c r="F105" s="81">
        <v>200</v>
      </c>
      <c r="G105" s="540">
        <v>20</v>
      </c>
      <c r="H105" s="376">
        <f t="shared" si="10"/>
        <v>0</v>
      </c>
      <c r="I105" s="376">
        <f t="shared" si="11"/>
        <v>0</v>
      </c>
    </row>
    <row r="106" spans="1:9" s="42" customFormat="1" ht="14.25" x14ac:dyDescent="0.25">
      <c r="A106" s="81">
        <v>20</v>
      </c>
      <c r="B106" s="534" t="s">
        <v>1108</v>
      </c>
      <c r="C106" s="81"/>
      <c r="D106" s="81">
        <v>100</v>
      </c>
      <c r="E106" s="540">
        <v>15</v>
      </c>
      <c r="F106" s="81">
        <v>100</v>
      </c>
      <c r="G106" s="540">
        <v>15</v>
      </c>
      <c r="H106" s="376">
        <f t="shared" si="10"/>
        <v>0</v>
      </c>
      <c r="I106" s="376">
        <f t="shared" si="11"/>
        <v>0</v>
      </c>
    </row>
    <row r="107" spans="1:9" s="42" customFormat="1" ht="14.25" x14ac:dyDescent="0.25">
      <c r="A107" s="81">
        <v>21</v>
      </c>
      <c r="B107" s="534" t="s">
        <v>1117</v>
      </c>
      <c r="C107" s="81"/>
      <c r="D107" s="81">
        <v>30</v>
      </c>
      <c r="E107" s="540">
        <v>18</v>
      </c>
      <c r="F107" s="81">
        <v>30</v>
      </c>
      <c r="G107" s="540">
        <v>18</v>
      </c>
      <c r="H107" s="376">
        <f t="shared" si="10"/>
        <v>0</v>
      </c>
      <c r="I107" s="376">
        <f t="shared" si="11"/>
        <v>0</v>
      </c>
    </row>
    <row r="108" spans="1:9" s="42" customFormat="1" ht="16.5" x14ac:dyDescent="0.3">
      <c r="A108" s="81">
        <v>22</v>
      </c>
      <c r="B108" s="542" t="s">
        <v>1109</v>
      </c>
      <c r="C108" s="81"/>
      <c r="D108" s="81">
        <v>100</v>
      </c>
      <c r="E108" s="541">
        <v>15</v>
      </c>
      <c r="F108" s="81">
        <v>100</v>
      </c>
      <c r="G108" s="541">
        <v>15</v>
      </c>
      <c r="H108" s="376">
        <f t="shared" si="10"/>
        <v>0</v>
      </c>
      <c r="I108" s="376">
        <f t="shared" si="11"/>
        <v>0</v>
      </c>
    </row>
    <row r="109" spans="1:9" s="42" customFormat="1" x14ac:dyDescent="0.25">
      <c r="A109" s="81"/>
      <c r="B109" s="395"/>
      <c r="C109" s="81"/>
      <c r="D109" s="81"/>
      <c r="E109" s="83"/>
      <c r="F109" s="83"/>
      <c r="G109" s="83"/>
      <c r="H109" s="83"/>
      <c r="I109" s="83"/>
    </row>
    <row r="110" spans="1:9" s="42" customFormat="1" ht="14.25" x14ac:dyDescent="0.25">
      <c r="A110" s="374">
        <v>15</v>
      </c>
      <c r="B110" s="538" t="s">
        <v>206</v>
      </c>
      <c r="C110" s="538">
        <v>4264</v>
      </c>
      <c r="D110" s="375"/>
      <c r="E110" s="376">
        <f>E113+E114+E118+E120+E121</f>
        <v>8328</v>
      </c>
      <c r="F110" s="376"/>
      <c r="G110" s="376">
        <f>G113+G114+G118+G120+G121</f>
        <v>6750.4</v>
      </c>
      <c r="H110" s="376"/>
      <c r="I110" s="376">
        <f>I113+I114+I118+I120+I121</f>
        <v>-1577.6000000000004</v>
      </c>
    </row>
    <row r="111" spans="1:9" s="42" customFormat="1" ht="14.25" x14ac:dyDescent="0.25">
      <c r="A111" s="374"/>
      <c r="B111" s="377" t="s">
        <v>112</v>
      </c>
      <c r="C111" s="538"/>
      <c r="D111" s="375"/>
      <c r="E111" s="376"/>
      <c r="F111" s="376"/>
      <c r="G111" s="376"/>
      <c r="H111" s="376"/>
      <c r="I111" s="376"/>
    </row>
    <row r="112" spans="1:9" s="42" customFormat="1" ht="14.25" x14ac:dyDescent="0.25">
      <c r="A112" s="374"/>
      <c r="B112" s="394" t="s">
        <v>273</v>
      </c>
      <c r="C112" s="538"/>
      <c r="D112" s="375"/>
      <c r="E112" s="376"/>
      <c r="F112" s="376"/>
      <c r="G112" s="376"/>
      <c r="H112" s="376"/>
      <c r="I112" s="376"/>
    </row>
    <row r="113" spans="1:9" s="42" customFormat="1" ht="14.25" x14ac:dyDescent="0.25">
      <c r="A113" s="81">
        <v>1</v>
      </c>
      <c r="B113" s="481" t="s">
        <v>1119</v>
      </c>
      <c r="C113" s="81"/>
      <c r="D113" s="81">
        <v>18000</v>
      </c>
      <c r="E113" s="83">
        <v>7740</v>
      </c>
      <c r="F113" s="83">
        <v>14520</v>
      </c>
      <c r="G113" s="83">
        <v>6098.4</v>
      </c>
      <c r="H113" s="376">
        <f t="shared" ref="H113:H121" si="12">F113-D113</f>
        <v>-3480</v>
      </c>
      <c r="I113" s="376">
        <f t="shared" ref="I113:I121" si="13">G113-E113</f>
        <v>-1641.6000000000004</v>
      </c>
    </row>
    <row r="114" spans="1:9" s="42" customFormat="1" ht="14.25" x14ac:dyDescent="0.25">
      <c r="A114" s="81">
        <v>2</v>
      </c>
      <c r="B114" s="481" t="s">
        <v>1120</v>
      </c>
      <c r="C114" s="81"/>
      <c r="D114" s="81">
        <v>4</v>
      </c>
      <c r="E114" s="83">
        <v>120</v>
      </c>
      <c r="F114" s="83">
        <v>12</v>
      </c>
      <c r="G114" s="83">
        <v>360</v>
      </c>
      <c r="H114" s="376">
        <f t="shared" si="12"/>
        <v>8</v>
      </c>
      <c r="I114" s="376">
        <f t="shared" si="13"/>
        <v>240</v>
      </c>
    </row>
    <row r="115" spans="1:9" s="42" customFormat="1" ht="14.25" hidden="1" x14ac:dyDescent="0.25">
      <c r="A115" s="81">
        <v>3</v>
      </c>
      <c r="B115" s="481" t="s">
        <v>1120</v>
      </c>
      <c r="C115" s="81"/>
      <c r="D115" s="81"/>
      <c r="E115" s="83"/>
      <c r="F115" s="83"/>
      <c r="G115" s="83"/>
      <c r="H115" s="376">
        <f t="shared" si="12"/>
        <v>0</v>
      </c>
      <c r="I115" s="376">
        <f t="shared" si="13"/>
        <v>0</v>
      </c>
    </row>
    <row r="116" spans="1:9" s="42" customFormat="1" ht="14.25" hidden="1" x14ac:dyDescent="0.25">
      <c r="A116" s="81">
        <v>4</v>
      </c>
      <c r="B116" s="481" t="s">
        <v>1120</v>
      </c>
      <c r="C116" s="81"/>
      <c r="D116" s="81"/>
      <c r="E116" s="83"/>
      <c r="F116" s="83"/>
      <c r="G116" s="83"/>
      <c r="H116" s="376">
        <f t="shared" si="12"/>
        <v>0</v>
      </c>
      <c r="I116" s="376">
        <f t="shared" si="13"/>
        <v>0</v>
      </c>
    </row>
    <row r="117" spans="1:9" s="42" customFormat="1" ht="14.25" hidden="1" x14ac:dyDescent="0.25">
      <c r="A117" s="81">
        <v>5</v>
      </c>
      <c r="B117" s="481" t="s">
        <v>1120</v>
      </c>
      <c r="C117" s="81"/>
      <c r="D117" s="81"/>
      <c r="E117" s="83"/>
      <c r="F117" s="83"/>
      <c r="G117" s="83"/>
      <c r="H117" s="376">
        <f t="shared" si="12"/>
        <v>0</v>
      </c>
      <c r="I117" s="376">
        <f t="shared" si="13"/>
        <v>0</v>
      </c>
    </row>
    <row r="118" spans="1:9" s="42" customFormat="1" ht="13.5" customHeight="1" x14ac:dyDescent="0.25">
      <c r="A118" s="81">
        <v>6</v>
      </c>
      <c r="B118" s="481" t="s">
        <v>1121</v>
      </c>
      <c r="C118" s="81"/>
      <c r="D118" s="81">
        <v>4</v>
      </c>
      <c r="E118" s="83">
        <v>168</v>
      </c>
      <c r="F118" s="83">
        <v>1</v>
      </c>
      <c r="G118" s="83">
        <v>42</v>
      </c>
      <c r="H118" s="376">
        <f t="shared" si="12"/>
        <v>-3</v>
      </c>
      <c r="I118" s="376">
        <f t="shared" si="13"/>
        <v>-126</v>
      </c>
    </row>
    <row r="119" spans="1:9" s="42" customFormat="1" ht="14.25" hidden="1" x14ac:dyDescent="0.25">
      <c r="A119" s="81">
        <v>7</v>
      </c>
      <c r="B119" s="481" t="s">
        <v>1121</v>
      </c>
      <c r="C119" s="81"/>
      <c r="D119" s="81"/>
      <c r="E119" s="83"/>
      <c r="F119" s="83"/>
      <c r="G119" s="83"/>
      <c r="H119" s="376">
        <f t="shared" si="12"/>
        <v>0</v>
      </c>
      <c r="I119" s="376">
        <f t="shared" si="13"/>
        <v>0</v>
      </c>
    </row>
    <row r="120" spans="1:9" s="42" customFormat="1" ht="14.25" x14ac:dyDescent="0.25">
      <c r="A120" s="81">
        <v>8</v>
      </c>
      <c r="B120" s="481" t="s">
        <v>1122</v>
      </c>
      <c r="C120" s="81"/>
      <c r="D120" s="81">
        <v>150</v>
      </c>
      <c r="E120" s="83">
        <v>300</v>
      </c>
      <c r="F120" s="83">
        <v>80</v>
      </c>
      <c r="G120" s="83">
        <v>160</v>
      </c>
      <c r="H120" s="376">
        <f t="shared" si="12"/>
        <v>-70</v>
      </c>
      <c r="I120" s="376">
        <f t="shared" si="13"/>
        <v>-140</v>
      </c>
    </row>
    <row r="121" spans="1:9" s="42" customFormat="1" ht="14.25" x14ac:dyDescent="0.25">
      <c r="A121" s="81">
        <v>9</v>
      </c>
      <c r="B121" s="481" t="s">
        <v>1123</v>
      </c>
      <c r="C121" s="81"/>
      <c r="D121" s="81"/>
      <c r="E121" s="83"/>
      <c r="F121" s="83">
        <v>90</v>
      </c>
      <c r="G121" s="83">
        <v>90</v>
      </c>
      <c r="H121" s="376">
        <f t="shared" si="12"/>
        <v>90</v>
      </c>
      <c r="I121" s="376">
        <f t="shared" si="13"/>
        <v>90</v>
      </c>
    </row>
    <row r="122" spans="1:9" s="42" customFormat="1" ht="14.25" x14ac:dyDescent="0.25">
      <c r="A122" s="81"/>
      <c r="B122" s="481"/>
      <c r="C122" s="81"/>
      <c r="D122" s="81"/>
      <c r="E122" s="83"/>
      <c r="F122" s="83"/>
      <c r="G122" s="83"/>
      <c r="H122" s="376"/>
      <c r="I122" s="376"/>
    </row>
    <row r="123" spans="1:9" s="42" customFormat="1" ht="14.25" x14ac:dyDescent="0.25">
      <c r="A123" s="374">
        <v>16</v>
      </c>
      <c r="B123" s="538" t="s">
        <v>1124</v>
      </c>
      <c r="C123" s="538">
        <v>4267</v>
      </c>
      <c r="D123" s="375"/>
      <c r="E123" s="376">
        <f>E126+E127+E128+E129+E130+E131+E132+E133+E134+E135</f>
        <v>465.8</v>
      </c>
      <c r="F123" s="376"/>
      <c r="G123" s="376">
        <f>G126+G127+G128+G129+G130+G131+G132+G133+G134+G135</f>
        <v>465.8</v>
      </c>
      <c r="H123" s="376">
        <f>F123-D123</f>
        <v>0</v>
      </c>
      <c r="I123" s="376">
        <f>G123-E123</f>
        <v>0</v>
      </c>
    </row>
    <row r="124" spans="1:9" s="42" customFormat="1" ht="14.25" x14ac:dyDescent="0.25">
      <c r="A124" s="81"/>
      <c r="B124" s="377" t="s">
        <v>112</v>
      </c>
      <c r="C124" s="81"/>
      <c r="D124" s="81"/>
      <c r="E124" s="83"/>
      <c r="F124" s="83"/>
      <c r="G124" s="83"/>
      <c r="H124" s="376">
        <f t="shared" ref="H124:H135" si="14">F124-D124</f>
        <v>0</v>
      </c>
      <c r="I124" s="376">
        <f t="shared" ref="I124:I135" si="15">G124-E124</f>
        <v>0</v>
      </c>
    </row>
    <row r="125" spans="1:9" s="42" customFormat="1" ht="14.25" x14ac:dyDescent="0.25">
      <c r="A125" s="81"/>
      <c r="B125" s="394" t="s">
        <v>273</v>
      </c>
      <c r="C125" s="81"/>
      <c r="D125" s="81"/>
      <c r="E125" s="83"/>
      <c r="F125" s="83"/>
      <c r="G125" s="83"/>
      <c r="H125" s="376">
        <f t="shared" si="14"/>
        <v>0</v>
      </c>
      <c r="I125" s="376">
        <f t="shared" si="15"/>
        <v>0</v>
      </c>
    </row>
    <row r="126" spans="1:9" s="42" customFormat="1" ht="14.25" x14ac:dyDescent="0.25">
      <c r="A126" s="390">
        <v>1</v>
      </c>
      <c r="B126" s="481" t="s">
        <v>1125</v>
      </c>
      <c r="C126" s="81"/>
      <c r="D126" s="81">
        <v>20</v>
      </c>
      <c r="E126" s="83">
        <v>48</v>
      </c>
      <c r="F126" s="81">
        <v>20</v>
      </c>
      <c r="G126" s="83">
        <v>48</v>
      </c>
      <c r="H126" s="376">
        <f t="shared" si="14"/>
        <v>0</v>
      </c>
      <c r="I126" s="376">
        <f t="shared" si="15"/>
        <v>0</v>
      </c>
    </row>
    <row r="127" spans="1:9" s="42" customFormat="1" ht="14.25" x14ac:dyDescent="0.25">
      <c r="A127" s="390">
        <v>2</v>
      </c>
      <c r="B127" s="481" t="s">
        <v>1126</v>
      </c>
      <c r="C127" s="81"/>
      <c r="D127" s="81">
        <v>40</v>
      </c>
      <c r="E127" s="83">
        <v>30</v>
      </c>
      <c r="F127" s="81">
        <v>40</v>
      </c>
      <c r="G127" s="83">
        <v>30</v>
      </c>
      <c r="H127" s="376">
        <f t="shared" si="14"/>
        <v>0</v>
      </c>
      <c r="I127" s="376">
        <f t="shared" si="15"/>
        <v>0</v>
      </c>
    </row>
    <row r="128" spans="1:9" s="42" customFormat="1" ht="14.25" x14ac:dyDescent="0.25">
      <c r="A128" s="390">
        <v>3</v>
      </c>
      <c r="B128" s="481" t="s">
        <v>1127</v>
      </c>
      <c r="C128" s="81"/>
      <c r="D128" s="81">
        <v>160</v>
      </c>
      <c r="E128" s="83">
        <v>128</v>
      </c>
      <c r="F128" s="81">
        <v>160</v>
      </c>
      <c r="G128" s="83">
        <v>128</v>
      </c>
      <c r="H128" s="376">
        <f t="shared" si="14"/>
        <v>0</v>
      </c>
      <c r="I128" s="376">
        <f t="shared" si="15"/>
        <v>0</v>
      </c>
    </row>
    <row r="129" spans="1:9" s="42" customFormat="1" ht="14.25" x14ac:dyDescent="0.25">
      <c r="A129" s="390">
        <v>4</v>
      </c>
      <c r="B129" s="481" t="s">
        <v>1128</v>
      </c>
      <c r="C129" s="81"/>
      <c r="D129" s="81">
        <v>50</v>
      </c>
      <c r="E129" s="83">
        <v>70</v>
      </c>
      <c r="F129" s="81">
        <v>50</v>
      </c>
      <c r="G129" s="83">
        <v>70</v>
      </c>
      <c r="H129" s="376">
        <f t="shared" si="14"/>
        <v>0</v>
      </c>
      <c r="I129" s="376">
        <f t="shared" si="15"/>
        <v>0</v>
      </c>
    </row>
    <row r="130" spans="1:9" s="42" customFormat="1" ht="14.25" x14ac:dyDescent="0.25">
      <c r="A130" s="390">
        <v>5</v>
      </c>
      <c r="B130" s="481" t="s">
        <v>1129</v>
      </c>
      <c r="C130" s="81"/>
      <c r="D130" s="81">
        <v>150</v>
      </c>
      <c r="E130" s="83">
        <v>18</v>
      </c>
      <c r="F130" s="81">
        <v>150</v>
      </c>
      <c r="G130" s="83">
        <v>18</v>
      </c>
      <c r="H130" s="376">
        <f t="shared" si="14"/>
        <v>0</v>
      </c>
      <c r="I130" s="376">
        <f t="shared" si="15"/>
        <v>0</v>
      </c>
    </row>
    <row r="131" spans="1:9" s="42" customFormat="1" ht="14.25" x14ac:dyDescent="0.25">
      <c r="A131" s="390">
        <v>6</v>
      </c>
      <c r="B131" s="481" t="s">
        <v>1130</v>
      </c>
      <c r="C131" s="81"/>
      <c r="D131" s="81">
        <v>200</v>
      </c>
      <c r="E131" s="83">
        <v>75</v>
      </c>
      <c r="F131" s="81">
        <v>200</v>
      </c>
      <c r="G131" s="83">
        <v>75</v>
      </c>
      <c r="H131" s="376">
        <f t="shared" si="14"/>
        <v>0</v>
      </c>
      <c r="I131" s="376">
        <f t="shared" si="15"/>
        <v>0</v>
      </c>
    </row>
    <row r="132" spans="1:9" s="42" customFormat="1" ht="14.25" x14ac:dyDescent="0.25">
      <c r="A132" s="390">
        <v>7</v>
      </c>
      <c r="B132" s="481" t="s">
        <v>1132</v>
      </c>
      <c r="C132" s="81"/>
      <c r="D132" s="81">
        <v>368</v>
      </c>
      <c r="E132" s="83">
        <v>36.799999999999997</v>
      </c>
      <c r="F132" s="81">
        <v>368</v>
      </c>
      <c r="G132" s="83">
        <v>36.799999999999997</v>
      </c>
      <c r="H132" s="376">
        <f t="shared" si="14"/>
        <v>0</v>
      </c>
      <c r="I132" s="376">
        <f t="shared" si="15"/>
        <v>0</v>
      </c>
    </row>
    <row r="133" spans="1:9" s="42" customFormat="1" ht="14.25" x14ac:dyDescent="0.25">
      <c r="A133" s="390">
        <v>8</v>
      </c>
      <c r="B133" s="481" t="s">
        <v>1131</v>
      </c>
      <c r="C133" s="81"/>
      <c r="D133" s="81">
        <v>40</v>
      </c>
      <c r="E133" s="83">
        <v>20</v>
      </c>
      <c r="F133" s="81">
        <v>40</v>
      </c>
      <c r="G133" s="83">
        <v>20</v>
      </c>
      <c r="H133" s="376">
        <f t="shared" si="14"/>
        <v>0</v>
      </c>
      <c r="I133" s="376">
        <f t="shared" si="15"/>
        <v>0</v>
      </c>
    </row>
    <row r="134" spans="1:9" s="42" customFormat="1" ht="14.25" x14ac:dyDescent="0.25">
      <c r="A134" s="390">
        <v>9</v>
      </c>
      <c r="B134" s="481" t="s">
        <v>1133</v>
      </c>
      <c r="C134" s="81"/>
      <c r="D134" s="81">
        <v>25</v>
      </c>
      <c r="E134" s="83">
        <v>5</v>
      </c>
      <c r="F134" s="81">
        <v>25</v>
      </c>
      <c r="G134" s="83">
        <v>5</v>
      </c>
      <c r="H134" s="376">
        <f t="shared" si="14"/>
        <v>0</v>
      </c>
      <c r="I134" s="376">
        <f t="shared" si="15"/>
        <v>0</v>
      </c>
    </row>
    <row r="135" spans="1:9" s="42" customFormat="1" ht="14.25" x14ac:dyDescent="0.25">
      <c r="A135" s="390">
        <v>10</v>
      </c>
      <c r="B135" s="481" t="s">
        <v>1134</v>
      </c>
      <c r="C135" s="81"/>
      <c r="D135" s="81">
        <v>100</v>
      </c>
      <c r="E135" s="83">
        <v>35</v>
      </c>
      <c r="F135" s="81">
        <v>100</v>
      </c>
      <c r="G135" s="83">
        <v>35</v>
      </c>
      <c r="H135" s="376">
        <f t="shared" si="14"/>
        <v>0</v>
      </c>
      <c r="I135" s="376">
        <f t="shared" si="15"/>
        <v>0</v>
      </c>
    </row>
    <row r="136" spans="1:9" s="42" customFormat="1" ht="14.25" x14ac:dyDescent="0.25">
      <c r="A136" s="390">
        <v>11</v>
      </c>
      <c r="B136" s="481"/>
      <c r="C136" s="81"/>
      <c r="D136" s="81"/>
      <c r="E136" s="83"/>
      <c r="F136" s="83"/>
      <c r="G136" s="83"/>
      <c r="H136" s="376"/>
      <c r="I136" s="376"/>
    </row>
    <row r="137" spans="1:9" s="42" customFormat="1" ht="14.25" x14ac:dyDescent="0.25">
      <c r="A137" s="543">
        <v>17</v>
      </c>
      <c r="B137" s="543" t="s">
        <v>1135</v>
      </c>
      <c r="C137" s="543">
        <v>5122</v>
      </c>
      <c r="D137" s="375"/>
      <c r="E137" s="376">
        <f>E140+E141+E142+E145+E146+E147+E148</f>
        <v>5931.2</v>
      </c>
      <c r="F137" s="376"/>
      <c r="G137" s="376">
        <f>G140+G141+G142+G145+G146+G147+G148</f>
        <v>0</v>
      </c>
      <c r="H137" s="376">
        <f>H140+H141+H142+H145+H146+H147+H148</f>
        <v>-142</v>
      </c>
      <c r="I137" s="376">
        <f>I140+I141+I142+I145+I146+I147+I148</f>
        <v>-5931.2</v>
      </c>
    </row>
    <row r="138" spans="1:9" s="42" customFormat="1" ht="14.25" x14ac:dyDescent="0.25">
      <c r="A138" s="544"/>
      <c r="B138" s="377" t="s">
        <v>112</v>
      </c>
      <c r="C138" s="543"/>
      <c r="D138" s="81"/>
      <c r="E138" s="83"/>
      <c r="F138" s="83"/>
      <c r="G138" s="83"/>
      <c r="H138" s="376">
        <f t="shared" ref="H138:H147" si="16">F138-D138</f>
        <v>0</v>
      </c>
      <c r="I138" s="376">
        <f t="shared" ref="I138:I147" si="17">G138-E138</f>
        <v>0</v>
      </c>
    </row>
    <row r="139" spans="1:9" s="42" customFormat="1" ht="14.25" x14ac:dyDescent="0.25">
      <c r="A139" s="201"/>
      <c r="B139" s="394" t="s">
        <v>273</v>
      </c>
      <c r="C139" s="108"/>
      <c r="D139" s="81"/>
      <c r="E139" s="83"/>
      <c r="F139" s="83"/>
      <c r="G139" s="83"/>
      <c r="H139" s="376">
        <f t="shared" si="16"/>
        <v>0</v>
      </c>
      <c r="I139" s="376">
        <f t="shared" si="17"/>
        <v>0</v>
      </c>
    </row>
    <row r="140" spans="1:9" s="42" customFormat="1" ht="14.25" x14ac:dyDescent="0.25">
      <c r="A140" s="390">
        <v>1</v>
      </c>
      <c r="B140" s="481" t="s">
        <v>1136</v>
      </c>
      <c r="C140" s="108"/>
      <c r="D140" s="81">
        <v>11</v>
      </c>
      <c r="E140" s="83">
        <v>2750</v>
      </c>
      <c r="F140" s="83"/>
      <c r="G140" s="83"/>
      <c r="H140" s="376">
        <f t="shared" si="16"/>
        <v>-11</v>
      </c>
      <c r="I140" s="376">
        <f t="shared" si="17"/>
        <v>-2750</v>
      </c>
    </row>
    <row r="141" spans="1:9" s="42" customFormat="1" ht="14.25" x14ac:dyDescent="0.25">
      <c r="A141" s="390">
        <v>2</v>
      </c>
      <c r="B141" s="481" t="s">
        <v>411</v>
      </c>
      <c r="C141" s="108"/>
      <c r="D141" s="81">
        <v>5</v>
      </c>
      <c r="E141" s="83">
        <v>100</v>
      </c>
      <c r="F141" s="83"/>
      <c r="G141" s="83"/>
      <c r="H141" s="376">
        <f t="shared" si="16"/>
        <v>-5</v>
      </c>
      <c r="I141" s="376">
        <f t="shared" si="17"/>
        <v>-100</v>
      </c>
    </row>
    <row r="142" spans="1:9" s="42" customFormat="1" ht="14.25" x14ac:dyDescent="0.25">
      <c r="A142" s="390">
        <v>3</v>
      </c>
      <c r="B142" s="481" t="s">
        <v>409</v>
      </c>
      <c r="C142" s="108"/>
      <c r="D142" s="81">
        <v>1</v>
      </c>
      <c r="E142" s="83">
        <v>281.2</v>
      </c>
      <c r="F142" s="83"/>
      <c r="G142" s="83"/>
      <c r="H142" s="376">
        <f t="shared" si="16"/>
        <v>-1</v>
      </c>
      <c r="I142" s="376">
        <f t="shared" si="17"/>
        <v>-281.2</v>
      </c>
    </row>
    <row r="143" spans="1:9" s="42" customFormat="1" ht="14.25" hidden="1" x14ac:dyDescent="0.25">
      <c r="A143" s="390">
        <v>4</v>
      </c>
      <c r="B143" s="106" t="s">
        <v>416</v>
      </c>
      <c r="C143" s="108"/>
      <c r="D143" s="81"/>
      <c r="E143" s="83"/>
      <c r="F143" s="83"/>
      <c r="G143" s="83"/>
      <c r="H143" s="376">
        <f t="shared" si="16"/>
        <v>0</v>
      </c>
      <c r="I143" s="376">
        <f t="shared" si="17"/>
        <v>0</v>
      </c>
    </row>
    <row r="144" spans="1:9" s="42" customFormat="1" ht="14.25" hidden="1" x14ac:dyDescent="0.25">
      <c r="A144" s="390">
        <v>5</v>
      </c>
      <c r="B144" s="481" t="s">
        <v>417</v>
      </c>
      <c r="C144" s="108"/>
      <c r="D144" s="81"/>
      <c r="E144" s="83"/>
      <c r="F144" s="83"/>
      <c r="G144" s="83"/>
      <c r="H144" s="376">
        <f t="shared" si="16"/>
        <v>0</v>
      </c>
      <c r="I144" s="376">
        <f t="shared" si="17"/>
        <v>0</v>
      </c>
    </row>
    <row r="145" spans="1:9" s="42" customFormat="1" ht="14.25" x14ac:dyDescent="0.25">
      <c r="A145" s="390">
        <v>6</v>
      </c>
      <c r="B145" s="481" t="s">
        <v>1137</v>
      </c>
      <c r="C145" s="108"/>
      <c r="D145" s="81">
        <v>100</v>
      </c>
      <c r="E145" s="83">
        <v>1500</v>
      </c>
      <c r="F145" s="83"/>
      <c r="G145" s="83"/>
      <c r="H145" s="376">
        <f t="shared" si="16"/>
        <v>-100</v>
      </c>
      <c r="I145" s="376">
        <f t="shared" si="17"/>
        <v>-1500</v>
      </c>
    </row>
    <row r="146" spans="1:9" s="42" customFormat="1" ht="14.25" x14ac:dyDescent="0.25">
      <c r="A146" s="390">
        <v>7</v>
      </c>
      <c r="B146" s="481" t="s">
        <v>423</v>
      </c>
      <c r="C146" s="81"/>
      <c r="D146" s="81">
        <v>15</v>
      </c>
      <c r="E146" s="83">
        <v>750</v>
      </c>
      <c r="F146" s="83"/>
      <c r="G146" s="83"/>
      <c r="H146" s="376">
        <f t="shared" si="16"/>
        <v>-15</v>
      </c>
      <c r="I146" s="376">
        <f t="shared" si="17"/>
        <v>-750</v>
      </c>
    </row>
    <row r="147" spans="1:9" s="42" customFormat="1" ht="14.25" x14ac:dyDescent="0.25">
      <c r="A147" s="390">
        <v>8</v>
      </c>
      <c r="B147" s="106" t="s">
        <v>420</v>
      </c>
      <c r="C147" s="108"/>
      <c r="D147" s="81">
        <v>10</v>
      </c>
      <c r="E147" s="83">
        <v>550</v>
      </c>
      <c r="F147" s="83"/>
      <c r="G147" s="83"/>
      <c r="H147" s="376">
        <f t="shared" si="16"/>
        <v>-10</v>
      </c>
      <c r="I147" s="376">
        <f t="shared" si="17"/>
        <v>-550</v>
      </c>
    </row>
    <row r="148" spans="1:9" s="42" customFormat="1" ht="14.25" x14ac:dyDescent="0.25">
      <c r="A148" s="390">
        <v>9</v>
      </c>
      <c r="B148" s="481" t="s">
        <v>414</v>
      </c>
      <c r="C148" s="108"/>
      <c r="D148" s="81"/>
      <c r="E148" s="83"/>
      <c r="F148" s="83"/>
      <c r="G148" s="83"/>
      <c r="H148" s="376">
        <f t="shared" ref="H148:I150" si="18">F148-D148</f>
        <v>0</v>
      </c>
      <c r="I148" s="376">
        <f t="shared" si="18"/>
        <v>0</v>
      </c>
    </row>
    <row r="149" spans="1:9" s="42" customFormat="1" ht="14.25" x14ac:dyDescent="0.25">
      <c r="A149" s="543">
        <v>18</v>
      </c>
      <c r="B149" s="543" t="s">
        <v>1138</v>
      </c>
      <c r="C149" s="543">
        <v>5121</v>
      </c>
      <c r="D149" s="375"/>
      <c r="E149" s="376">
        <f>E151</f>
        <v>0</v>
      </c>
      <c r="F149" s="376"/>
      <c r="G149" s="376"/>
      <c r="H149" s="376">
        <f t="shared" si="18"/>
        <v>0</v>
      </c>
      <c r="I149" s="376">
        <f t="shared" si="18"/>
        <v>0</v>
      </c>
    </row>
    <row r="150" spans="1:9" s="42" customFormat="1" ht="14.25" x14ac:dyDescent="0.25">
      <c r="A150" s="544"/>
      <c r="B150" s="377" t="s">
        <v>112</v>
      </c>
      <c r="C150" s="543"/>
      <c r="D150" s="81"/>
      <c r="E150" s="83"/>
      <c r="F150" s="83"/>
      <c r="G150" s="83"/>
      <c r="H150" s="376">
        <f t="shared" si="18"/>
        <v>0</v>
      </c>
      <c r="I150" s="376">
        <f t="shared" si="18"/>
        <v>0</v>
      </c>
    </row>
    <row r="151" spans="1:9" s="42" customFormat="1" ht="14.25" x14ac:dyDescent="0.25">
      <c r="A151" s="81">
        <v>1</v>
      </c>
      <c r="B151" s="481"/>
      <c r="C151" s="81"/>
      <c r="D151" s="81"/>
      <c r="E151" s="83"/>
      <c r="F151" s="83"/>
      <c r="G151" s="83"/>
      <c r="H151" s="376"/>
      <c r="I151" s="376">
        <f>G151-E151</f>
        <v>0</v>
      </c>
    </row>
    <row r="152" spans="1:9" s="42" customFormat="1" ht="14.25" x14ac:dyDescent="0.25">
      <c r="A152" s="81"/>
      <c r="B152" s="481"/>
      <c r="C152" s="81"/>
      <c r="D152" s="81"/>
      <c r="E152" s="83"/>
      <c r="F152" s="83"/>
      <c r="G152" s="83"/>
      <c r="H152" s="376"/>
      <c r="I152" s="376"/>
    </row>
    <row r="153" spans="1:9" s="42" customFormat="1" ht="14.25" x14ac:dyDescent="0.25">
      <c r="A153" s="81"/>
      <c r="B153" s="481"/>
      <c r="C153" s="81"/>
      <c r="D153" s="81"/>
      <c r="E153" s="83"/>
      <c r="F153" s="83"/>
      <c r="G153" s="83"/>
      <c r="H153" s="376"/>
      <c r="I153" s="376"/>
    </row>
    <row r="154" spans="1:9" s="42" customFormat="1" x14ac:dyDescent="0.25">
      <c r="A154" s="81"/>
      <c r="B154" s="395"/>
      <c r="C154" s="81" t="s">
        <v>1</v>
      </c>
      <c r="D154" s="81"/>
      <c r="E154" s="83"/>
      <c r="F154" s="83"/>
      <c r="G154" s="83"/>
      <c r="H154" s="83">
        <f>F154-D154</f>
        <v>0</v>
      </c>
      <c r="I154" s="83">
        <f>G154-E154</f>
        <v>0</v>
      </c>
    </row>
    <row r="157" spans="1:9" ht="26.25" customHeight="1" x14ac:dyDescent="0.25">
      <c r="A157" s="202" t="s">
        <v>7</v>
      </c>
      <c r="B157" s="569" t="s">
        <v>313</v>
      </c>
      <c r="C157" s="569"/>
      <c r="D157" s="569"/>
      <c r="E157" s="569"/>
      <c r="F157" s="417"/>
    </row>
  </sheetData>
  <mergeCells count="5">
    <mergeCell ref="G2:I2"/>
    <mergeCell ref="B157:E157"/>
    <mergeCell ref="D7:E7"/>
    <mergeCell ref="F7:G7"/>
    <mergeCell ref="H7:I7"/>
  </mergeCells>
  <phoneticPr fontId="2" type="noConversion"/>
  <pageMargins left="0.75" right="0.25" top="0.23" bottom="0.28999999999999998" header="0.21" footer="0.19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E1" workbookViewId="0">
      <selection activeCell="I15" sqref="I15"/>
    </sheetView>
  </sheetViews>
  <sheetFormatPr defaultRowHeight="13.5" x14ac:dyDescent="0.25"/>
  <cols>
    <col min="1" max="1" width="4.28515625" style="4" customWidth="1"/>
    <col min="2" max="2" width="31.7109375" style="100" customWidth="1"/>
    <col min="3" max="3" width="6.7109375" style="92" customWidth="1"/>
    <col min="4" max="4" width="16.140625" style="92" customWidth="1"/>
    <col min="5" max="5" width="20" style="92" customWidth="1"/>
    <col min="6" max="6" width="9.85546875" style="92" customWidth="1"/>
    <col min="7" max="7" width="18.28515625" style="92" customWidth="1"/>
    <col min="8" max="8" width="14.42578125" style="92" customWidth="1"/>
    <col min="9" max="9" width="8.28515625" style="4" customWidth="1"/>
    <col min="10" max="10" width="10.28515625" style="41" customWidth="1"/>
    <col min="11" max="11" width="19.28515625" style="5" customWidth="1"/>
    <col min="12" max="12" width="18.5703125" style="5" customWidth="1"/>
    <col min="13" max="13" width="12.5703125" style="4" customWidth="1"/>
    <col min="14" max="14" width="12.140625" style="4" customWidth="1"/>
    <col min="15" max="15" width="11.5703125" style="4" customWidth="1"/>
    <col min="16" max="16" width="13.7109375" style="4" customWidth="1"/>
    <col min="17" max="16384" width="9.140625" style="5"/>
  </cols>
  <sheetData>
    <row r="1" spans="1:16" s="32" customFormat="1" ht="14.25" x14ac:dyDescent="0.25">
      <c r="A1" s="271"/>
      <c r="B1" s="261"/>
      <c r="C1" s="253"/>
      <c r="D1" s="253"/>
      <c r="E1" s="253"/>
      <c r="F1" s="253"/>
      <c r="G1" s="22"/>
      <c r="I1" s="9"/>
      <c r="J1" s="9"/>
      <c r="K1" s="31"/>
      <c r="L1" s="31"/>
      <c r="O1" s="24" t="s">
        <v>262</v>
      </c>
    </row>
    <row r="2" spans="1:16" s="285" customFormat="1" ht="17.25" x14ac:dyDescent="0.3">
      <c r="A2" s="283"/>
      <c r="B2" s="1"/>
      <c r="C2" s="2"/>
      <c r="D2" s="2"/>
      <c r="E2" s="2"/>
      <c r="F2" s="3"/>
      <c r="G2" s="3"/>
      <c r="H2" s="3"/>
      <c r="I2" s="284"/>
      <c r="J2" s="291"/>
      <c r="O2" s="568" t="s">
        <v>11</v>
      </c>
      <c r="P2" s="568"/>
    </row>
    <row r="3" spans="1:16" s="285" customFormat="1" ht="18" thickBot="1" x14ac:dyDescent="0.35">
      <c r="A3" s="32"/>
      <c r="B3" s="23" t="s">
        <v>12</v>
      </c>
      <c r="C3" s="470" t="s">
        <v>380</v>
      </c>
      <c r="D3" s="7"/>
      <c r="E3" s="7"/>
      <c r="F3" s="7"/>
      <c r="G3" s="8"/>
      <c r="H3" s="8"/>
      <c r="I3" s="292"/>
      <c r="J3" s="293"/>
      <c r="K3" s="294"/>
    </row>
    <row r="4" spans="1:16" s="50" customFormat="1" x14ac:dyDescent="0.25">
      <c r="A4" s="43"/>
      <c r="B4" s="112" t="s">
        <v>61</v>
      </c>
      <c r="C4" s="44"/>
      <c r="D4" s="44"/>
      <c r="E4" s="44"/>
      <c r="F4" s="44"/>
      <c r="G4" s="44"/>
      <c r="H4" s="44"/>
      <c r="I4" s="45"/>
      <c r="J4" s="46"/>
      <c r="K4" s="45"/>
      <c r="L4" s="45"/>
      <c r="M4" s="43"/>
      <c r="N4" s="47"/>
      <c r="O4" s="43"/>
      <c r="P4" s="43"/>
    </row>
    <row r="5" spans="1:16" s="50" customFormat="1" x14ac:dyDescent="0.25">
      <c r="A5" s="43"/>
      <c r="B5" s="112" t="s">
        <v>289</v>
      </c>
      <c r="C5" s="44"/>
      <c r="D5" s="44"/>
      <c r="E5" s="44"/>
      <c r="F5" s="44"/>
      <c r="G5" s="44"/>
      <c r="H5" s="44"/>
      <c r="I5" s="45"/>
      <c r="J5" s="46"/>
      <c r="K5" s="45"/>
      <c r="L5" s="45"/>
      <c r="M5" s="43"/>
      <c r="N5" s="43"/>
      <c r="O5" s="43"/>
      <c r="P5" s="43"/>
    </row>
    <row r="6" spans="1:16" s="16" customFormat="1" ht="12.75" x14ac:dyDescent="0.25">
      <c r="A6" s="43"/>
      <c r="B6" s="48"/>
      <c r="C6" s="48"/>
      <c r="D6" s="48"/>
      <c r="E6" s="48"/>
      <c r="F6" s="48"/>
      <c r="G6" s="48"/>
      <c r="H6" s="48"/>
      <c r="I6" s="43"/>
      <c r="J6" s="49"/>
      <c r="K6" s="50"/>
      <c r="L6" s="50"/>
      <c r="M6" s="43"/>
      <c r="N6" s="43"/>
      <c r="O6" s="43"/>
      <c r="P6" s="43"/>
    </row>
    <row r="7" spans="1:16" s="16" customFormat="1" ht="14.25" x14ac:dyDescent="0.25">
      <c r="A7" s="51"/>
      <c r="B7" s="52"/>
      <c r="C7" s="53"/>
      <c r="D7" s="54" t="s">
        <v>62</v>
      </c>
      <c r="E7" s="55"/>
      <c r="F7" s="55"/>
      <c r="G7" s="55"/>
      <c r="H7" s="56"/>
      <c r="I7" s="57" t="s">
        <v>63</v>
      </c>
      <c r="J7" s="58"/>
      <c r="K7" s="59"/>
      <c r="L7" s="59"/>
      <c r="M7" s="59"/>
      <c r="N7" s="60"/>
      <c r="O7" s="51"/>
      <c r="P7" s="51"/>
    </row>
    <row r="8" spans="1:16" ht="89.25" x14ac:dyDescent="0.25">
      <c r="A8" s="61"/>
      <c r="B8" s="62"/>
      <c r="C8" s="63"/>
      <c r="D8" s="64" t="s">
        <v>64</v>
      </c>
      <c r="E8" s="64"/>
      <c r="F8" s="64" t="s">
        <v>65</v>
      </c>
      <c r="G8" s="64"/>
      <c r="H8" s="64" t="s">
        <v>66</v>
      </c>
      <c r="I8" s="574" t="s">
        <v>69</v>
      </c>
      <c r="J8" s="575"/>
      <c r="K8" s="65" t="s">
        <v>195</v>
      </c>
      <c r="L8" s="65" t="s">
        <v>194</v>
      </c>
      <c r="M8" s="65" t="s">
        <v>72</v>
      </c>
      <c r="N8" s="65" t="s">
        <v>73</v>
      </c>
      <c r="O8" s="66" t="s">
        <v>74</v>
      </c>
      <c r="P8" s="67" t="s">
        <v>75</v>
      </c>
    </row>
    <row r="9" spans="1:16" s="71" customFormat="1" ht="38.25" x14ac:dyDescent="0.25">
      <c r="A9" s="68" t="s">
        <v>97</v>
      </c>
      <c r="B9" s="69" t="s">
        <v>76</v>
      </c>
      <c r="C9" s="68"/>
      <c r="D9" s="14" t="s">
        <v>67</v>
      </c>
      <c r="E9" s="14" t="s">
        <v>254</v>
      </c>
      <c r="F9" s="14" t="s">
        <v>67</v>
      </c>
      <c r="G9" s="14" t="s">
        <v>254</v>
      </c>
      <c r="H9" s="14" t="s">
        <v>68</v>
      </c>
      <c r="I9" s="14" t="s">
        <v>70</v>
      </c>
      <c r="J9" s="70" t="s">
        <v>71</v>
      </c>
      <c r="K9" s="14" t="s">
        <v>68</v>
      </c>
      <c r="L9" s="14" t="s">
        <v>68</v>
      </c>
      <c r="M9" s="14" t="s">
        <v>68</v>
      </c>
      <c r="N9" s="14" t="s">
        <v>68</v>
      </c>
      <c r="O9" s="14" t="s">
        <v>68</v>
      </c>
      <c r="P9" s="14" t="s">
        <v>68</v>
      </c>
    </row>
    <row r="10" spans="1:16" x14ac:dyDescent="0.25">
      <c r="A10" s="72">
        <v>1</v>
      </c>
      <c r="B10" s="25">
        <v>2</v>
      </c>
      <c r="C10" s="12">
        <v>3</v>
      </c>
      <c r="D10" s="12">
        <v>4</v>
      </c>
      <c r="E10" s="13">
        <v>5</v>
      </c>
      <c r="F10" s="13">
        <v>6</v>
      </c>
      <c r="G10" s="13">
        <v>7</v>
      </c>
      <c r="H10" s="13">
        <v>8</v>
      </c>
      <c r="I10" s="72">
        <v>9</v>
      </c>
      <c r="J10" s="73"/>
      <c r="K10" s="12">
        <v>11</v>
      </c>
      <c r="L10" s="12">
        <v>12</v>
      </c>
      <c r="M10" s="72">
        <v>13</v>
      </c>
      <c r="N10" s="72">
        <v>14</v>
      </c>
      <c r="O10" s="72">
        <v>15</v>
      </c>
      <c r="P10" s="72">
        <v>16</v>
      </c>
    </row>
    <row r="11" spans="1:16" ht="54" x14ac:dyDescent="0.25">
      <c r="A11" s="72"/>
      <c r="B11" s="322" t="s">
        <v>205</v>
      </c>
      <c r="C11" s="12"/>
      <c r="D11" s="72" t="s">
        <v>1</v>
      </c>
      <c r="E11" s="298"/>
      <c r="F11" s="72" t="s">
        <v>1</v>
      </c>
      <c r="G11" s="298"/>
      <c r="H11" s="72" t="s">
        <v>1</v>
      </c>
      <c r="I11" s="72" t="s">
        <v>1</v>
      </c>
      <c r="J11" s="73" t="s">
        <v>1</v>
      </c>
      <c r="K11" s="72" t="s">
        <v>1</v>
      </c>
      <c r="L11" s="72" t="s">
        <v>1</v>
      </c>
      <c r="M11" s="72" t="s">
        <v>1</v>
      </c>
      <c r="N11" s="72" t="s">
        <v>1</v>
      </c>
      <c r="O11" s="72" t="s">
        <v>1</v>
      </c>
      <c r="P11" s="72" t="s">
        <v>1</v>
      </c>
    </row>
    <row r="12" spans="1:16" ht="27" x14ac:dyDescent="0.25">
      <c r="A12" s="72">
        <v>1</v>
      </c>
      <c r="B12" s="75" t="s">
        <v>77</v>
      </c>
      <c r="C12" s="296">
        <v>137</v>
      </c>
      <c r="D12" s="72" t="s">
        <v>1</v>
      </c>
      <c r="E12" s="72" t="s">
        <v>1</v>
      </c>
      <c r="F12" s="72" t="s">
        <v>1</v>
      </c>
      <c r="G12" s="72" t="s">
        <v>1</v>
      </c>
      <c r="H12" s="72" t="s">
        <v>1</v>
      </c>
      <c r="I12" s="72" t="s">
        <v>1</v>
      </c>
      <c r="J12" s="73" t="s">
        <v>1</v>
      </c>
      <c r="K12" s="72" t="s">
        <v>1</v>
      </c>
      <c r="L12" s="72" t="s">
        <v>1</v>
      </c>
      <c r="M12" s="72" t="s">
        <v>1</v>
      </c>
      <c r="N12" s="72" t="s">
        <v>1</v>
      </c>
      <c r="O12" s="76">
        <v>200000</v>
      </c>
      <c r="P12" s="76">
        <f>O12</f>
        <v>200000</v>
      </c>
    </row>
    <row r="13" spans="1:16" s="311" customFormat="1" x14ac:dyDescent="0.25">
      <c r="A13" s="315">
        <v>2</v>
      </c>
      <c r="B13" s="323" t="s">
        <v>78</v>
      </c>
      <c r="C13" s="324">
        <v>1</v>
      </c>
      <c r="D13" s="312"/>
      <c r="E13" s="326"/>
      <c r="F13" s="326"/>
      <c r="G13" s="326">
        <v>48000</v>
      </c>
      <c r="H13" s="326">
        <f>E13+G13</f>
        <v>48000</v>
      </c>
      <c r="I13" s="314"/>
      <c r="J13" s="325">
        <f t="shared" ref="J13:J28" si="0">(I13-360)*4.17</f>
        <v>-1501.2</v>
      </c>
      <c r="K13" s="313">
        <v>2000</v>
      </c>
      <c r="L13" s="313"/>
      <c r="M13" s="313">
        <f t="shared" ref="M13:M28" si="1">J13+K13+L13</f>
        <v>498.79999999999995</v>
      </c>
      <c r="N13" s="313">
        <f>M13*C13*12</f>
        <v>5985.5999999999995</v>
      </c>
      <c r="O13" s="313" t="s">
        <v>1</v>
      </c>
      <c r="P13" s="313">
        <f>H13+N13</f>
        <v>53985.599999999999</v>
      </c>
    </row>
    <row r="14" spans="1:16" x14ac:dyDescent="0.25">
      <c r="A14" s="72">
        <v>3</v>
      </c>
      <c r="B14" s="75" t="s">
        <v>79</v>
      </c>
      <c r="C14" s="12">
        <v>3</v>
      </c>
      <c r="D14" s="12"/>
      <c r="E14" s="297"/>
      <c r="F14" s="12"/>
      <c r="G14" s="297">
        <v>144000</v>
      </c>
      <c r="H14" s="77">
        <f>E14+G14</f>
        <v>144000</v>
      </c>
      <c r="I14" s="72">
        <v>1000</v>
      </c>
      <c r="J14" s="79">
        <f t="shared" si="0"/>
        <v>2668.8</v>
      </c>
      <c r="K14" s="313">
        <v>2000</v>
      </c>
      <c r="L14" s="76"/>
      <c r="M14" s="76">
        <f t="shared" si="1"/>
        <v>4668.8</v>
      </c>
      <c r="N14" s="76">
        <f t="shared" ref="N14:N28" si="2">M14*C14*12</f>
        <v>168076.80000000002</v>
      </c>
      <c r="O14" s="76" t="s">
        <v>1</v>
      </c>
      <c r="P14" s="76">
        <f>H14+N14</f>
        <v>312076.80000000005</v>
      </c>
    </row>
    <row r="15" spans="1:16" x14ac:dyDescent="0.25">
      <c r="A15" s="72">
        <v>4</v>
      </c>
      <c r="B15" s="75" t="s">
        <v>80</v>
      </c>
      <c r="C15" s="12">
        <v>2</v>
      </c>
      <c r="D15" s="12" t="s">
        <v>1</v>
      </c>
      <c r="E15" s="12"/>
      <c r="F15" s="12" t="s">
        <v>1</v>
      </c>
      <c r="G15" s="12" t="s">
        <v>1</v>
      </c>
      <c r="H15" s="12" t="s">
        <v>1</v>
      </c>
      <c r="I15" s="72">
        <v>1000</v>
      </c>
      <c r="J15" s="79">
        <f t="shared" si="0"/>
        <v>2668.8</v>
      </c>
      <c r="K15" s="313">
        <v>2000</v>
      </c>
      <c r="L15" s="76"/>
      <c r="M15" s="76">
        <f t="shared" si="1"/>
        <v>4668.8</v>
      </c>
      <c r="N15" s="76">
        <f t="shared" si="2"/>
        <v>112051.20000000001</v>
      </c>
      <c r="O15" s="76" t="s">
        <v>1</v>
      </c>
      <c r="P15" s="76">
        <f>N15</f>
        <v>112051.20000000001</v>
      </c>
    </row>
    <row r="16" spans="1:16" x14ac:dyDescent="0.25">
      <c r="A16" s="72">
        <v>5</v>
      </c>
      <c r="B16" s="75" t="s">
        <v>81</v>
      </c>
      <c r="C16" s="12">
        <v>3</v>
      </c>
      <c r="D16" s="12" t="s">
        <v>1</v>
      </c>
      <c r="E16" s="12"/>
      <c r="F16" s="12" t="s">
        <v>1</v>
      </c>
      <c r="G16" s="12" t="s">
        <v>1</v>
      </c>
      <c r="H16" s="12" t="s">
        <v>1</v>
      </c>
      <c r="I16" s="72">
        <v>2000</v>
      </c>
      <c r="J16" s="79">
        <f t="shared" si="0"/>
        <v>6838.8</v>
      </c>
      <c r="K16" s="313">
        <v>2000</v>
      </c>
      <c r="L16" s="76"/>
      <c r="M16" s="76">
        <f t="shared" si="1"/>
        <v>8838.7999999999993</v>
      </c>
      <c r="N16" s="76">
        <f t="shared" si="2"/>
        <v>318196.8</v>
      </c>
      <c r="O16" s="76" t="s">
        <v>1</v>
      </c>
      <c r="P16" s="76">
        <f>N16</f>
        <v>318196.8</v>
      </c>
    </row>
    <row r="17" spans="1:16" x14ac:dyDescent="0.25">
      <c r="A17" s="72">
        <v>6</v>
      </c>
      <c r="B17" s="75" t="s">
        <v>82</v>
      </c>
      <c r="C17" s="12"/>
      <c r="D17" s="12" t="s">
        <v>1</v>
      </c>
      <c r="E17" s="12"/>
      <c r="F17" s="12" t="s">
        <v>1</v>
      </c>
      <c r="G17" s="12" t="s">
        <v>1</v>
      </c>
      <c r="H17" s="12" t="s">
        <v>1</v>
      </c>
      <c r="I17" s="72">
        <v>5000</v>
      </c>
      <c r="J17" s="79">
        <f t="shared" si="0"/>
        <v>19348.8</v>
      </c>
      <c r="K17" s="313"/>
      <c r="L17" s="76"/>
      <c r="M17" s="76">
        <f t="shared" si="1"/>
        <v>19348.8</v>
      </c>
      <c r="N17" s="76">
        <f t="shared" si="2"/>
        <v>0</v>
      </c>
      <c r="O17" s="76" t="s">
        <v>1</v>
      </c>
      <c r="P17" s="76">
        <f>N17</f>
        <v>0</v>
      </c>
    </row>
    <row r="18" spans="1:16" x14ac:dyDescent="0.25">
      <c r="A18" s="72">
        <v>7</v>
      </c>
      <c r="B18" s="75" t="s">
        <v>83</v>
      </c>
      <c r="C18" s="12">
        <v>1</v>
      </c>
      <c r="D18" s="12"/>
      <c r="E18" s="297"/>
      <c r="F18" s="12"/>
      <c r="G18" s="297">
        <v>48000</v>
      </c>
      <c r="H18" s="77">
        <f>E18+G18</f>
        <v>48000</v>
      </c>
      <c r="I18" s="72">
        <v>3000</v>
      </c>
      <c r="J18" s="79">
        <f t="shared" si="0"/>
        <v>11008.8</v>
      </c>
      <c r="K18" s="313">
        <v>2000</v>
      </c>
      <c r="L18" s="76"/>
      <c r="M18" s="76">
        <f t="shared" si="1"/>
        <v>13008.8</v>
      </c>
      <c r="N18" s="76">
        <f t="shared" si="2"/>
        <v>156105.59999999998</v>
      </c>
      <c r="O18" s="76" t="s">
        <v>1</v>
      </c>
      <c r="P18" s="76">
        <f>H18+N18</f>
        <v>204105.59999999998</v>
      </c>
    </row>
    <row r="19" spans="1:16" ht="27" x14ac:dyDescent="0.25">
      <c r="A19" s="72">
        <v>8</v>
      </c>
      <c r="B19" s="75" t="s">
        <v>84</v>
      </c>
      <c r="C19" s="12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72">
        <v>2000</v>
      </c>
      <c r="J19" s="79">
        <f t="shared" si="0"/>
        <v>6838.8</v>
      </c>
      <c r="K19" s="76">
        <v>1000</v>
      </c>
      <c r="L19" s="76"/>
      <c r="M19" s="76">
        <f t="shared" si="1"/>
        <v>7838.8</v>
      </c>
      <c r="N19" s="76">
        <f t="shared" si="2"/>
        <v>94065.600000000006</v>
      </c>
      <c r="O19" s="76" t="s">
        <v>1</v>
      </c>
      <c r="P19" s="76">
        <f>N19</f>
        <v>94065.600000000006</v>
      </c>
    </row>
    <row r="20" spans="1:16" ht="27" x14ac:dyDescent="0.25">
      <c r="A20" s="72">
        <v>9</v>
      </c>
      <c r="B20" s="75" t="s">
        <v>85</v>
      </c>
      <c r="C20" s="12"/>
      <c r="D20" s="12"/>
      <c r="E20" s="297">
        <f>D20*12*$E$11</f>
        <v>0</v>
      </c>
      <c r="F20" s="12"/>
      <c r="G20" s="297">
        <f>F20*12*$G$11</f>
        <v>0</v>
      </c>
      <c r="H20" s="77">
        <f>E20+G20</f>
        <v>0</v>
      </c>
      <c r="I20" s="72">
        <v>4000</v>
      </c>
      <c r="J20" s="79">
        <f t="shared" si="0"/>
        <v>15178.8</v>
      </c>
      <c r="K20" s="76"/>
      <c r="L20" s="76"/>
      <c r="M20" s="76">
        <f t="shared" si="1"/>
        <v>15178.8</v>
      </c>
      <c r="N20" s="76">
        <f t="shared" si="2"/>
        <v>0</v>
      </c>
      <c r="O20" s="76" t="s">
        <v>1</v>
      </c>
      <c r="P20" s="76">
        <f>H20+N20</f>
        <v>0</v>
      </c>
    </row>
    <row r="21" spans="1:16" ht="40.5" x14ac:dyDescent="0.25">
      <c r="A21" s="72">
        <v>10</v>
      </c>
      <c r="B21" s="75" t="s">
        <v>86</v>
      </c>
      <c r="C21" s="12">
        <v>4</v>
      </c>
      <c r="D21" s="12"/>
      <c r="E21" s="297">
        <f>D21*12*$E$11</f>
        <v>0</v>
      </c>
      <c r="F21" s="12"/>
      <c r="G21" s="297">
        <f>F21*12*$G$11</f>
        <v>0</v>
      </c>
      <c r="H21" s="77">
        <f>E21+G21</f>
        <v>0</v>
      </c>
      <c r="I21" s="72">
        <v>3000</v>
      </c>
      <c r="J21" s="79">
        <f t="shared" si="0"/>
        <v>11008.8</v>
      </c>
      <c r="K21" s="76">
        <v>1000</v>
      </c>
      <c r="L21" s="76"/>
      <c r="M21" s="76">
        <f>J21+K21+L21</f>
        <v>12008.8</v>
      </c>
      <c r="N21" s="76">
        <f t="shared" si="2"/>
        <v>576422.39999999991</v>
      </c>
      <c r="O21" s="76" t="s">
        <v>1</v>
      </c>
      <c r="P21" s="76">
        <f>H21+N21</f>
        <v>576422.39999999991</v>
      </c>
    </row>
    <row r="22" spans="1:16" ht="27" x14ac:dyDescent="0.25">
      <c r="A22" s="72">
        <v>11</v>
      </c>
      <c r="B22" s="75" t="s">
        <v>87</v>
      </c>
      <c r="C22" s="12"/>
      <c r="D22" s="12" t="s">
        <v>1</v>
      </c>
      <c r="E22" s="12" t="s">
        <v>1</v>
      </c>
      <c r="F22" s="12" t="s">
        <v>1</v>
      </c>
      <c r="G22" s="12" t="s">
        <v>1</v>
      </c>
      <c r="H22" s="12" t="s">
        <v>1</v>
      </c>
      <c r="I22" s="72">
        <v>4000</v>
      </c>
      <c r="J22" s="79">
        <f t="shared" si="0"/>
        <v>15178.8</v>
      </c>
      <c r="K22" s="76"/>
      <c r="L22" s="76"/>
      <c r="M22" s="76">
        <f t="shared" si="1"/>
        <v>15178.8</v>
      </c>
      <c r="N22" s="76">
        <f t="shared" si="2"/>
        <v>0</v>
      </c>
      <c r="O22" s="76" t="s">
        <v>1</v>
      </c>
      <c r="P22" s="76">
        <f t="shared" ref="P22:P28" si="3">N22</f>
        <v>0</v>
      </c>
    </row>
    <row r="23" spans="1:16" ht="40.5" x14ac:dyDescent="0.25">
      <c r="A23" s="72">
        <v>12</v>
      </c>
      <c r="B23" s="75" t="s">
        <v>88</v>
      </c>
      <c r="C23" s="12">
        <v>4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72">
        <v>3000</v>
      </c>
      <c r="J23" s="79">
        <f t="shared" si="0"/>
        <v>11008.8</v>
      </c>
      <c r="K23" s="76">
        <v>1000</v>
      </c>
      <c r="L23" s="76"/>
      <c r="M23" s="76">
        <f t="shared" si="1"/>
        <v>12008.8</v>
      </c>
      <c r="N23" s="76">
        <f t="shared" si="2"/>
        <v>576422.39999999991</v>
      </c>
      <c r="O23" s="76" t="s">
        <v>1</v>
      </c>
      <c r="P23" s="76">
        <f t="shared" si="3"/>
        <v>576422.39999999991</v>
      </c>
    </row>
    <row r="24" spans="1:16" ht="27" x14ac:dyDescent="0.25">
      <c r="A24" s="72">
        <v>13</v>
      </c>
      <c r="B24" s="75" t="s">
        <v>89</v>
      </c>
      <c r="C24" s="327">
        <v>15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72">
        <v>3000</v>
      </c>
      <c r="J24" s="79">
        <f t="shared" si="0"/>
        <v>11008.8</v>
      </c>
      <c r="K24" s="76">
        <v>1000</v>
      </c>
      <c r="L24" s="76"/>
      <c r="M24" s="76">
        <f t="shared" si="1"/>
        <v>12008.8</v>
      </c>
      <c r="N24" s="76">
        <f>M24*C24*12</f>
        <v>2161584</v>
      </c>
      <c r="O24" s="76" t="s">
        <v>1</v>
      </c>
      <c r="P24" s="76">
        <f t="shared" si="3"/>
        <v>2161584</v>
      </c>
    </row>
    <row r="25" spans="1:16" ht="27" x14ac:dyDescent="0.25">
      <c r="A25" s="72">
        <v>14</v>
      </c>
      <c r="B25" s="75" t="s">
        <v>90</v>
      </c>
      <c r="C25" s="12"/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72">
        <v>5000</v>
      </c>
      <c r="J25" s="79">
        <f t="shared" si="0"/>
        <v>19348.8</v>
      </c>
      <c r="K25" s="76"/>
      <c r="L25" s="76"/>
      <c r="M25" s="76">
        <f>J25+K25+L25</f>
        <v>19348.8</v>
      </c>
      <c r="N25" s="76">
        <f>M25*C25*12</f>
        <v>0</v>
      </c>
      <c r="O25" s="76" t="s">
        <v>1</v>
      </c>
      <c r="P25" s="76">
        <f>N25</f>
        <v>0</v>
      </c>
    </row>
    <row r="26" spans="1:16" ht="27" x14ac:dyDescent="0.25">
      <c r="A26" s="72">
        <v>15</v>
      </c>
      <c r="B26" s="75" t="s">
        <v>91</v>
      </c>
      <c r="C26" s="12">
        <v>6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72">
        <v>5000</v>
      </c>
      <c r="J26" s="79">
        <f t="shared" si="0"/>
        <v>19348.8</v>
      </c>
      <c r="K26" s="76"/>
      <c r="L26" s="76"/>
      <c r="M26" s="76">
        <f t="shared" si="1"/>
        <v>19348.8</v>
      </c>
      <c r="N26" s="76">
        <f t="shared" si="2"/>
        <v>1393113.5999999999</v>
      </c>
      <c r="O26" s="76" t="s">
        <v>1</v>
      </c>
      <c r="P26" s="76">
        <f t="shared" si="3"/>
        <v>1393113.5999999999</v>
      </c>
    </row>
    <row r="27" spans="1:16" x14ac:dyDescent="0.25">
      <c r="A27" s="72">
        <v>16</v>
      </c>
      <c r="B27" s="75" t="s">
        <v>92</v>
      </c>
      <c r="C27" s="12">
        <v>8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72">
        <v>3000</v>
      </c>
      <c r="J27" s="79">
        <f t="shared" si="0"/>
        <v>11008.8</v>
      </c>
      <c r="K27" s="76"/>
      <c r="L27" s="76"/>
      <c r="M27" s="76">
        <f t="shared" si="1"/>
        <v>11008.8</v>
      </c>
      <c r="N27" s="76">
        <f t="shared" si="2"/>
        <v>1056844.7999999998</v>
      </c>
      <c r="O27" s="76" t="s">
        <v>1</v>
      </c>
      <c r="P27" s="76">
        <f t="shared" si="3"/>
        <v>1056844.7999999998</v>
      </c>
    </row>
    <row r="28" spans="1:16" x14ac:dyDescent="0.25">
      <c r="A28" s="72">
        <v>17</v>
      </c>
      <c r="B28" s="75" t="s">
        <v>93</v>
      </c>
      <c r="C28" s="12">
        <v>1</v>
      </c>
      <c r="D28" s="81" t="s">
        <v>1</v>
      </c>
      <c r="E28" s="82" t="s">
        <v>1</v>
      </c>
      <c r="F28" s="81" t="s">
        <v>1</v>
      </c>
      <c r="G28" s="82" t="s">
        <v>1</v>
      </c>
      <c r="H28" s="82" t="s">
        <v>1</v>
      </c>
      <c r="I28" s="72">
        <v>3000</v>
      </c>
      <c r="J28" s="79">
        <f t="shared" si="0"/>
        <v>11008.8</v>
      </c>
      <c r="K28" s="76">
        <v>2000</v>
      </c>
      <c r="L28" s="76"/>
      <c r="M28" s="76">
        <f t="shared" si="1"/>
        <v>13008.8</v>
      </c>
      <c r="N28" s="76">
        <f t="shared" si="2"/>
        <v>156105.59999999998</v>
      </c>
      <c r="O28" s="76" t="s">
        <v>1</v>
      </c>
      <c r="P28" s="76">
        <f t="shared" si="3"/>
        <v>156105.59999999998</v>
      </c>
    </row>
    <row r="29" spans="1:16" ht="27" x14ac:dyDescent="0.25">
      <c r="A29" s="72"/>
      <c r="B29" s="75" t="s">
        <v>94</v>
      </c>
      <c r="C29" s="12">
        <v>8</v>
      </c>
      <c r="D29" s="81" t="s">
        <v>1</v>
      </c>
      <c r="E29" s="81" t="s">
        <v>1</v>
      </c>
      <c r="F29" s="81" t="s">
        <v>1</v>
      </c>
      <c r="G29" s="81" t="s">
        <v>1</v>
      </c>
      <c r="H29" s="81" t="s">
        <v>1</v>
      </c>
      <c r="I29" s="81" t="s">
        <v>1</v>
      </c>
      <c r="J29" s="73" t="s">
        <v>1</v>
      </c>
      <c r="K29" s="81" t="s">
        <v>1</v>
      </c>
      <c r="L29" s="81" t="s">
        <v>1</v>
      </c>
      <c r="M29" s="83" t="s">
        <v>1</v>
      </c>
      <c r="N29" s="83" t="s">
        <v>1</v>
      </c>
      <c r="O29" s="83" t="s">
        <v>1</v>
      </c>
      <c r="P29" s="83" t="s">
        <v>1</v>
      </c>
    </row>
    <row r="30" spans="1:16" ht="54" x14ac:dyDescent="0.25">
      <c r="A30" s="72">
        <v>18</v>
      </c>
      <c r="B30" s="75" t="s">
        <v>95</v>
      </c>
      <c r="C30" s="84">
        <f>+(C12-C13-C14-C18-C20-C21-C29)/4</f>
        <v>30</v>
      </c>
      <c r="D30" s="84">
        <f>+C30-F30</f>
        <v>30</v>
      </c>
      <c r="E30" s="297">
        <v>1296000</v>
      </c>
      <c r="F30" s="84"/>
      <c r="G30" s="297">
        <f>F30*12*$G$11</f>
        <v>0</v>
      </c>
      <c r="H30" s="77">
        <f>E30+G30</f>
        <v>1296000</v>
      </c>
      <c r="I30" s="72" t="s">
        <v>1</v>
      </c>
      <c r="J30" s="73"/>
      <c r="K30" s="76" t="s">
        <v>1</v>
      </c>
      <c r="L30" s="76" t="s">
        <v>1</v>
      </c>
      <c r="M30" s="76" t="s">
        <v>1</v>
      </c>
      <c r="N30" s="76" t="s">
        <v>1</v>
      </c>
      <c r="O30" s="76" t="s">
        <v>1</v>
      </c>
      <c r="P30" s="76">
        <f>H30</f>
        <v>1296000</v>
      </c>
    </row>
    <row r="31" spans="1:16" s="90" customFormat="1" ht="33" x14ac:dyDescent="0.3">
      <c r="A31" s="85"/>
      <c r="B31" s="371" t="s">
        <v>255</v>
      </c>
      <c r="C31" s="86"/>
      <c r="D31" s="87">
        <f>SUM(D13:D30)</f>
        <v>30</v>
      </c>
      <c r="E31" s="87">
        <f>SUM(E13:E30)*1.2</f>
        <v>1555200</v>
      </c>
      <c r="F31" s="87"/>
      <c r="G31" s="87"/>
      <c r="H31" s="87">
        <f>SUM(H13:H30)*1.2</f>
        <v>1843200</v>
      </c>
      <c r="I31" s="85"/>
      <c r="J31" s="88"/>
      <c r="K31" s="89"/>
      <c r="L31" s="89"/>
      <c r="M31" s="89"/>
      <c r="N31" s="89">
        <f>SUM(N13:N30)*1.2</f>
        <v>8129969.2799999993</v>
      </c>
      <c r="O31" s="89"/>
      <c r="P31" s="89">
        <f>SUM(P12:P30)*1.2-N31+N31*0.3</f>
        <v>4522190.7839999981</v>
      </c>
    </row>
    <row r="32" spans="1:16" x14ac:dyDescent="0.25">
      <c r="A32" s="72"/>
      <c r="B32" s="75"/>
      <c r="C32" s="12"/>
      <c r="D32" s="12"/>
      <c r="E32" s="77"/>
      <c r="F32" s="12"/>
      <c r="G32" s="13"/>
      <c r="H32" s="77"/>
      <c r="I32" s="72"/>
      <c r="J32" s="73"/>
      <c r="K32" s="76"/>
      <c r="L32" s="76"/>
      <c r="M32" s="76"/>
      <c r="N32" s="76"/>
      <c r="O32" s="76"/>
      <c r="P32" s="76"/>
    </row>
    <row r="33" spans="1:16" x14ac:dyDescent="0.25">
      <c r="A33" s="72">
        <v>19</v>
      </c>
      <c r="B33" s="370" t="s">
        <v>253</v>
      </c>
      <c r="C33" s="12" t="s">
        <v>1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 t="s">
        <v>1</v>
      </c>
      <c r="J33" s="74" t="s">
        <v>1</v>
      </c>
      <c r="K33" s="12" t="s">
        <v>1</v>
      </c>
      <c r="L33" s="12" t="s">
        <v>1</v>
      </c>
      <c r="M33" s="82" t="s">
        <v>1</v>
      </c>
      <c r="N33" s="82" t="s">
        <v>1</v>
      </c>
      <c r="O33" s="82" t="s">
        <v>1</v>
      </c>
      <c r="P33" s="76">
        <v>540000</v>
      </c>
    </row>
    <row r="34" spans="1:16" x14ac:dyDescent="0.25">
      <c r="A34" s="72">
        <v>1</v>
      </c>
      <c r="B34" s="91" t="s">
        <v>209</v>
      </c>
      <c r="C34" s="12" t="s">
        <v>1</v>
      </c>
      <c r="D34" s="12" t="s">
        <v>1</v>
      </c>
      <c r="E34" s="12" t="s">
        <v>1</v>
      </c>
      <c r="F34" s="12" t="s">
        <v>1</v>
      </c>
      <c r="G34" s="12" t="s">
        <v>1</v>
      </c>
      <c r="H34" s="12" t="s">
        <v>1</v>
      </c>
      <c r="I34" s="12" t="s">
        <v>1</v>
      </c>
      <c r="J34" s="74" t="s">
        <v>1</v>
      </c>
      <c r="K34" s="12" t="s">
        <v>1</v>
      </c>
      <c r="L34" s="12" t="s">
        <v>1</v>
      </c>
      <c r="M34" s="82" t="s">
        <v>1</v>
      </c>
      <c r="N34" s="82" t="s">
        <v>1</v>
      </c>
      <c r="O34" s="82" t="s">
        <v>1</v>
      </c>
      <c r="P34" s="76">
        <v>540000</v>
      </c>
    </row>
    <row r="35" spans="1:16" x14ac:dyDescent="0.25">
      <c r="A35" s="72">
        <v>2</v>
      </c>
      <c r="B35" s="91" t="s">
        <v>99</v>
      </c>
      <c r="C35" s="12" t="s">
        <v>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 t="s">
        <v>1</v>
      </c>
      <c r="J35" s="74" t="s">
        <v>1</v>
      </c>
      <c r="K35" s="12" t="s">
        <v>1</v>
      </c>
      <c r="L35" s="12" t="s">
        <v>1</v>
      </c>
      <c r="M35" s="82" t="s">
        <v>1</v>
      </c>
      <c r="N35" s="82" t="s">
        <v>1</v>
      </c>
      <c r="O35" s="82" t="s">
        <v>1</v>
      </c>
      <c r="P35" s="76"/>
    </row>
    <row r="36" spans="1:16" x14ac:dyDescent="0.25">
      <c r="A36" s="72">
        <v>3</v>
      </c>
      <c r="B36" s="91"/>
      <c r="C36" s="12" t="s">
        <v>1</v>
      </c>
      <c r="D36" s="12" t="s">
        <v>1</v>
      </c>
      <c r="E36" s="12" t="s">
        <v>1</v>
      </c>
      <c r="F36" s="12" t="s">
        <v>1</v>
      </c>
      <c r="G36" s="12" t="s">
        <v>1</v>
      </c>
      <c r="H36" s="12" t="s">
        <v>1</v>
      </c>
      <c r="I36" s="12" t="s">
        <v>1</v>
      </c>
      <c r="J36" s="74" t="s">
        <v>1</v>
      </c>
      <c r="K36" s="12" t="s">
        <v>1</v>
      </c>
      <c r="L36" s="12" t="s">
        <v>1</v>
      </c>
      <c r="M36" s="82" t="s">
        <v>1</v>
      </c>
      <c r="N36" s="82" t="s">
        <v>1</v>
      </c>
      <c r="O36" s="82" t="s">
        <v>1</v>
      </c>
      <c r="P36" s="76"/>
    </row>
    <row r="37" spans="1:16" x14ac:dyDescent="0.25">
      <c r="A37" s="72">
        <v>4</v>
      </c>
      <c r="B37" s="91"/>
      <c r="C37" s="12" t="s">
        <v>1</v>
      </c>
      <c r="D37" s="12" t="s">
        <v>1</v>
      </c>
      <c r="E37" s="12" t="s">
        <v>1</v>
      </c>
      <c r="F37" s="12" t="s">
        <v>1</v>
      </c>
      <c r="G37" s="12" t="s">
        <v>1</v>
      </c>
      <c r="H37" s="12" t="s">
        <v>1</v>
      </c>
      <c r="I37" s="12" t="s">
        <v>1</v>
      </c>
      <c r="J37" s="74" t="s">
        <v>1</v>
      </c>
      <c r="K37" s="12" t="s">
        <v>1</v>
      </c>
      <c r="L37" s="12" t="s">
        <v>1</v>
      </c>
      <c r="M37" s="82" t="s">
        <v>1</v>
      </c>
      <c r="N37" s="82" t="s">
        <v>1</v>
      </c>
      <c r="O37" s="82" t="s">
        <v>1</v>
      </c>
      <c r="P37" s="76"/>
    </row>
    <row r="38" spans="1:16" x14ac:dyDescent="0.25">
      <c r="A38" s="72" t="s">
        <v>204</v>
      </c>
      <c r="B38" s="91"/>
      <c r="C38" s="12" t="s">
        <v>1</v>
      </c>
      <c r="D38" s="12" t="s">
        <v>1</v>
      </c>
      <c r="E38" s="12" t="s">
        <v>1</v>
      </c>
      <c r="F38" s="12" t="s">
        <v>1</v>
      </c>
      <c r="G38" s="12" t="s">
        <v>1</v>
      </c>
      <c r="H38" s="12" t="s">
        <v>1</v>
      </c>
      <c r="I38" s="12" t="s">
        <v>1</v>
      </c>
      <c r="J38" s="74" t="s">
        <v>1</v>
      </c>
      <c r="K38" s="12" t="s">
        <v>1</v>
      </c>
      <c r="L38" s="12" t="s">
        <v>1</v>
      </c>
      <c r="M38" s="82" t="s">
        <v>1</v>
      </c>
      <c r="N38" s="82" t="s">
        <v>1</v>
      </c>
      <c r="O38" s="82" t="s">
        <v>1</v>
      </c>
      <c r="P38" s="76"/>
    </row>
    <row r="39" spans="1:16" s="321" customFormat="1" ht="18" thickBot="1" x14ac:dyDescent="0.35">
      <c r="A39" s="316"/>
      <c r="B39" s="317" t="s">
        <v>96</v>
      </c>
      <c r="C39" s="318" t="s">
        <v>1</v>
      </c>
      <c r="D39" s="318" t="s">
        <v>1</v>
      </c>
      <c r="E39" s="318" t="s">
        <v>1</v>
      </c>
      <c r="F39" s="318" t="s">
        <v>1</v>
      </c>
      <c r="G39" s="318" t="s">
        <v>1</v>
      </c>
      <c r="H39" s="318" t="s">
        <v>1</v>
      </c>
      <c r="I39" s="318" t="s">
        <v>1</v>
      </c>
      <c r="J39" s="319" t="s">
        <v>1</v>
      </c>
      <c r="K39" s="318" t="s">
        <v>1</v>
      </c>
      <c r="L39" s="318" t="s">
        <v>1</v>
      </c>
      <c r="M39" s="320" t="s">
        <v>1</v>
      </c>
      <c r="N39" s="320" t="s">
        <v>1</v>
      </c>
      <c r="O39" s="320" t="s">
        <v>1</v>
      </c>
      <c r="P39" s="320">
        <f>P31+P33</f>
        <v>5062190.7839999981</v>
      </c>
    </row>
    <row r="40" spans="1:16" ht="18" thickBot="1" x14ac:dyDescent="0.35">
      <c r="B40" s="93"/>
      <c r="C40" s="94"/>
      <c r="D40" s="94"/>
      <c r="E40" s="94"/>
      <c r="F40" s="94"/>
      <c r="G40" s="94"/>
      <c r="H40" s="94"/>
      <c r="I40" s="95"/>
      <c r="J40" s="96"/>
      <c r="K40" s="95"/>
      <c r="L40" s="95"/>
      <c r="M40" s="97"/>
      <c r="N40" s="97"/>
      <c r="O40" s="97"/>
      <c r="P40" s="98">
        <f>P39/1000</f>
        <v>5062.1907839999985</v>
      </c>
    </row>
    <row r="41" spans="1:16" x14ac:dyDescent="0.25">
      <c r="B41" s="99"/>
      <c r="C41" s="94"/>
      <c r="D41" s="94"/>
      <c r="E41" s="94"/>
      <c r="F41" s="94"/>
      <c r="G41" s="94"/>
      <c r="H41" s="94"/>
    </row>
    <row r="42" spans="1:16" x14ac:dyDescent="0.25">
      <c r="B42" s="576"/>
      <c r="C42" s="576"/>
      <c r="D42" s="576"/>
      <c r="E42" s="576"/>
      <c r="F42" s="576"/>
    </row>
  </sheetData>
  <mergeCells count="3">
    <mergeCell ref="O2:P2"/>
    <mergeCell ref="I8:J8"/>
    <mergeCell ref="B42:F42"/>
  </mergeCells>
  <phoneticPr fontId="2" type="noConversion"/>
  <pageMargins left="0.25" right="0.25" top="0.25" bottom="0.25" header="0.22" footer="0.16"/>
  <pageSetup paperSize="9" scale="65" orientation="landscape" r:id="rId1"/>
  <headerFooter alignWithMargins="0"/>
  <ignoredErrors>
    <ignoredError sqref="P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C1" workbookViewId="0">
      <selection activeCell="K15" sqref="K15"/>
    </sheetView>
  </sheetViews>
  <sheetFormatPr defaultRowHeight="13.5" x14ac:dyDescent="0.25"/>
  <cols>
    <col min="1" max="1" width="4.28515625" style="4" customWidth="1"/>
    <col min="2" max="2" width="30.7109375" style="100" customWidth="1"/>
    <col min="3" max="3" width="8.28515625" style="100" customWidth="1"/>
    <col min="4" max="5" width="10" style="100" customWidth="1"/>
    <col min="6" max="6" width="9.140625" style="92"/>
    <col min="7" max="7" width="8" style="100" customWidth="1"/>
    <col min="8" max="8" width="11.85546875" style="92" customWidth="1"/>
    <col min="9" max="9" width="12.140625" style="4" customWidth="1"/>
    <col min="10" max="16384" width="9.140625" style="5"/>
  </cols>
  <sheetData>
    <row r="1" spans="1:14" s="32" customFormat="1" x14ac:dyDescent="0.25">
      <c r="A1" s="283"/>
      <c r="B1" s="3"/>
      <c r="C1" s="3"/>
      <c r="D1" s="111"/>
      <c r="E1" s="111"/>
      <c r="F1" s="3"/>
      <c r="G1" s="3"/>
      <c r="H1" s="31"/>
      <c r="I1" s="124" t="s">
        <v>98</v>
      </c>
      <c r="J1" s="3"/>
      <c r="K1" s="31"/>
      <c r="L1" s="31"/>
      <c r="M1" s="31"/>
      <c r="N1" s="31"/>
    </row>
    <row r="2" spans="1:14" s="32" customFormat="1" ht="12.75" customHeight="1" x14ac:dyDescent="0.25">
      <c r="A2" s="31"/>
      <c r="B2" s="3"/>
      <c r="C2" s="3"/>
      <c r="D2" s="111"/>
      <c r="E2" s="111"/>
      <c r="F2" s="3"/>
      <c r="G2" s="3"/>
      <c r="H2" s="568" t="s">
        <v>11</v>
      </c>
      <c r="I2" s="568"/>
      <c r="J2" s="568"/>
      <c r="K2" s="31"/>
      <c r="L2" s="31"/>
      <c r="M2" s="31"/>
      <c r="N2" s="31"/>
    </row>
    <row r="3" spans="1:14" s="32" customFormat="1" ht="18" thickBot="1" x14ac:dyDescent="0.35">
      <c r="B3" s="23" t="s">
        <v>12</v>
      </c>
      <c r="C3" s="577" t="s">
        <v>380</v>
      </c>
      <c r="D3" s="577"/>
      <c r="E3" s="577"/>
      <c r="F3" s="577"/>
      <c r="G3" s="577"/>
    </row>
    <row r="4" spans="1:14" s="32" customFormat="1" ht="14.25" x14ac:dyDescent="0.25">
      <c r="A4" s="31"/>
      <c r="B4" s="111"/>
      <c r="C4" s="111"/>
      <c r="D4" s="111"/>
      <c r="E4" s="3"/>
      <c r="F4" s="112"/>
      <c r="G4" s="113"/>
      <c r="H4" s="104"/>
      <c r="I4" s="33"/>
    </row>
    <row r="5" spans="1:14" s="32" customFormat="1" x14ac:dyDescent="0.25">
      <c r="A5" s="31"/>
      <c r="B5" s="44" t="s">
        <v>61</v>
      </c>
      <c r="C5" s="112"/>
      <c r="D5" s="112"/>
      <c r="E5" s="112"/>
      <c r="F5" s="112"/>
      <c r="G5" s="112"/>
      <c r="H5" s="112"/>
      <c r="I5" s="31"/>
    </row>
    <row r="6" spans="1:14" s="32" customFormat="1" ht="27" x14ac:dyDescent="0.25">
      <c r="A6" s="31"/>
      <c r="B6" s="112" t="s">
        <v>290</v>
      </c>
      <c r="C6" s="112"/>
      <c r="D6" s="112"/>
      <c r="E6" s="112"/>
      <c r="F6" s="112"/>
      <c r="G6" s="112"/>
      <c r="H6" s="112"/>
      <c r="I6" s="31"/>
    </row>
    <row r="7" spans="1:14" s="32" customFormat="1" x14ac:dyDescent="0.25">
      <c r="A7" s="31"/>
      <c r="B7" s="111"/>
      <c r="C7" s="111"/>
      <c r="D7" s="111"/>
      <c r="E7" s="111"/>
      <c r="F7" s="104"/>
      <c r="G7" s="111"/>
      <c r="H7" s="104"/>
      <c r="I7" s="31"/>
    </row>
    <row r="8" spans="1:14" s="16" customFormat="1" ht="63.75" x14ac:dyDescent="0.25">
      <c r="A8" s="114"/>
      <c r="B8" s="115"/>
      <c r="C8" s="65" t="s">
        <v>101</v>
      </c>
      <c r="D8" s="65" t="s">
        <v>102</v>
      </c>
      <c r="E8" s="65" t="s">
        <v>103</v>
      </c>
      <c r="F8" s="65" t="s">
        <v>104</v>
      </c>
      <c r="G8" s="64" t="s">
        <v>105</v>
      </c>
      <c r="H8" s="64" t="s">
        <v>106</v>
      </c>
      <c r="I8" s="116" t="s">
        <v>107</v>
      </c>
    </row>
    <row r="9" spans="1:14" s="16" customFormat="1" ht="12.75" x14ac:dyDescent="0.25">
      <c r="A9" s="78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78">
        <v>9</v>
      </c>
    </row>
    <row r="10" spans="1:14" ht="54" x14ac:dyDescent="0.25">
      <c r="A10" s="78">
        <v>1</v>
      </c>
      <c r="B10" s="75" t="s">
        <v>109</v>
      </c>
      <c r="C10" s="25" t="s">
        <v>1</v>
      </c>
      <c r="D10" s="25" t="s">
        <v>1</v>
      </c>
      <c r="E10" s="25" t="s">
        <v>1</v>
      </c>
      <c r="F10" s="12">
        <v>3456.5</v>
      </c>
      <c r="G10" s="25">
        <v>29.32</v>
      </c>
      <c r="H10" s="76">
        <f>F10*G10</f>
        <v>101344.58</v>
      </c>
      <c r="I10" s="361">
        <f>H10*0.04498</f>
        <v>4558.4792084000001</v>
      </c>
    </row>
    <row r="11" spans="1:14" ht="67.5" x14ac:dyDescent="0.25">
      <c r="A11" s="78">
        <v>2</v>
      </c>
      <c r="B11" s="75" t="s">
        <v>110</v>
      </c>
      <c r="C11" s="25" t="s">
        <v>1</v>
      </c>
      <c r="D11" s="25" t="s">
        <v>1</v>
      </c>
      <c r="E11" s="25" t="s">
        <v>1</v>
      </c>
      <c r="F11" s="12">
        <v>1345</v>
      </c>
      <c r="G11" s="25">
        <v>21.4</v>
      </c>
      <c r="H11" s="76">
        <f>F11*G11</f>
        <v>28782.999999999996</v>
      </c>
      <c r="I11" s="361">
        <f t="shared" ref="I11:I18" si="0">H11*0.04498</f>
        <v>1294.6593399999997</v>
      </c>
    </row>
    <row r="12" spans="1:14" ht="67.5" x14ac:dyDescent="0.25">
      <c r="A12" s="78">
        <v>3</v>
      </c>
      <c r="B12" s="75" t="s">
        <v>111</v>
      </c>
      <c r="C12" s="75">
        <v>185</v>
      </c>
      <c r="D12" s="25" t="s">
        <v>1</v>
      </c>
      <c r="E12" s="25" t="s">
        <v>1</v>
      </c>
      <c r="F12" s="25" t="s">
        <v>1</v>
      </c>
      <c r="G12" s="25">
        <v>1100</v>
      </c>
      <c r="H12" s="117">
        <f>C12*G12</f>
        <v>203500</v>
      </c>
      <c r="I12" s="361">
        <f t="shared" si="0"/>
        <v>9153.43</v>
      </c>
    </row>
    <row r="13" spans="1:14" ht="40.5" x14ac:dyDescent="0.25">
      <c r="A13" s="78">
        <v>4</v>
      </c>
      <c r="B13" s="75" t="s">
        <v>108</v>
      </c>
      <c r="C13" s="25"/>
      <c r="D13" s="117">
        <f>SUM(D15:D18)</f>
        <v>3</v>
      </c>
      <c r="E13" s="117">
        <f>SUM(E15:E18)</f>
        <v>5760</v>
      </c>
      <c r="F13" s="25" t="s">
        <v>1</v>
      </c>
      <c r="G13" s="25" t="s">
        <v>1</v>
      </c>
      <c r="H13" s="117">
        <f>SUM(H15:H18)</f>
        <v>8640</v>
      </c>
      <c r="I13" s="117">
        <f>SUM(I15:I18)</f>
        <v>388.62719999999996</v>
      </c>
    </row>
    <row r="14" spans="1:14" ht="21" customHeight="1" x14ac:dyDescent="0.25">
      <c r="A14" s="78"/>
      <c r="B14" s="75" t="s">
        <v>112</v>
      </c>
      <c r="C14" s="25"/>
      <c r="D14" s="25"/>
      <c r="E14" s="25"/>
      <c r="F14" s="25"/>
      <c r="G14" s="25"/>
      <c r="H14" s="117"/>
      <c r="I14" s="361">
        <f t="shared" si="0"/>
        <v>0</v>
      </c>
    </row>
    <row r="15" spans="1:14" ht="21" customHeight="1" x14ac:dyDescent="0.25">
      <c r="A15" s="78">
        <v>4.0999999999999996</v>
      </c>
      <c r="B15" s="75" t="s">
        <v>378</v>
      </c>
      <c r="C15" s="25" t="s">
        <v>1</v>
      </c>
      <c r="D15" s="25">
        <v>1</v>
      </c>
      <c r="E15" s="25">
        <v>2880</v>
      </c>
      <c r="F15" s="25" t="s">
        <v>1</v>
      </c>
      <c r="G15" s="25" t="s">
        <v>1</v>
      </c>
      <c r="H15" s="117">
        <f>D15*E15</f>
        <v>2880</v>
      </c>
      <c r="I15" s="361">
        <f t="shared" si="0"/>
        <v>129.54239999999999</v>
      </c>
    </row>
    <row r="16" spans="1:14" ht="21" customHeight="1" x14ac:dyDescent="0.25">
      <c r="A16" s="78">
        <v>4.2</v>
      </c>
      <c r="B16" s="75" t="s">
        <v>379</v>
      </c>
      <c r="C16" s="25" t="s">
        <v>1</v>
      </c>
      <c r="D16" s="25">
        <v>2</v>
      </c>
      <c r="E16" s="25">
        <v>2880</v>
      </c>
      <c r="F16" s="25" t="s">
        <v>1</v>
      </c>
      <c r="G16" s="25" t="s">
        <v>1</v>
      </c>
      <c r="H16" s="117">
        <f>D16*E16</f>
        <v>5760</v>
      </c>
      <c r="I16" s="361">
        <f t="shared" si="0"/>
        <v>259.08479999999997</v>
      </c>
    </row>
    <row r="17" spans="1:9" ht="18" customHeight="1" x14ac:dyDescent="0.25">
      <c r="A17" s="78">
        <v>4.3</v>
      </c>
      <c r="B17" s="75"/>
      <c r="C17" s="25" t="s">
        <v>1</v>
      </c>
      <c r="D17" s="25"/>
      <c r="E17" s="25"/>
      <c r="F17" s="25" t="s">
        <v>1</v>
      </c>
      <c r="G17" s="25" t="s">
        <v>1</v>
      </c>
      <c r="H17" s="117">
        <f>D17*E17</f>
        <v>0</v>
      </c>
      <c r="I17" s="361">
        <f t="shared" si="0"/>
        <v>0</v>
      </c>
    </row>
    <row r="18" spans="1:9" ht="18" customHeight="1" x14ac:dyDescent="0.25">
      <c r="A18" s="78">
        <v>4.4000000000000004</v>
      </c>
      <c r="B18" s="75"/>
      <c r="C18" s="25" t="s">
        <v>1</v>
      </c>
      <c r="D18" s="25"/>
      <c r="E18" s="25"/>
      <c r="F18" s="25" t="s">
        <v>1</v>
      </c>
      <c r="G18" s="25" t="s">
        <v>1</v>
      </c>
      <c r="H18" s="117">
        <f>D18*E18</f>
        <v>0</v>
      </c>
      <c r="I18" s="361">
        <f t="shared" si="0"/>
        <v>0</v>
      </c>
    </row>
    <row r="19" spans="1:9" ht="27" customHeight="1" x14ac:dyDescent="0.3">
      <c r="A19" s="118"/>
      <c r="B19" s="119" t="s">
        <v>96</v>
      </c>
      <c r="C19" s="119"/>
      <c r="D19" s="120" t="s">
        <v>1</v>
      </c>
      <c r="E19" s="120" t="s">
        <v>1</v>
      </c>
      <c r="F19" s="120" t="s">
        <v>1</v>
      </c>
      <c r="G19" s="120" t="s">
        <v>1</v>
      </c>
      <c r="H19" s="121">
        <f>SUM(H10:H13)</f>
        <v>342267.58</v>
      </c>
      <c r="I19" s="121">
        <f>SUM(I10:I13)*0.65</f>
        <v>10006.877236460001</v>
      </c>
    </row>
    <row r="22" spans="1:9" ht="16.5" x14ac:dyDescent="0.3">
      <c r="B22" s="122"/>
      <c r="C22" s="123"/>
      <c r="D22" s="123"/>
      <c r="E22" s="123"/>
      <c r="F22" s="94"/>
      <c r="G22" s="123"/>
      <c r="H22" s="94"/>
    </row>
  </sheetData>
  <customSheetViews>
    <customSheetView guid="{EE5C0AFB-B96A-4C3C-885D-9A248AEB532B}" showPageBreaks="1" showRuler="0">
      <pageMargins left="0.21" right="0.17" top="1" bottom="1" header="0.5" footer="0.5"/>
      <pageSetup paperSize="9" scale="95" orientation="portrait" r:id="rId1"/>
      <headerFooter alignWithMargins="0"/>
    </customSheetView>
    <customSheetView guid="{D9EA75C0-4948-47E2-929C-5FF812E82023}" showRuler="0">
      <selection activeCell="B3" sqref="B3"/>
      <pageMargins left="0.21" right="0.17" top="1" bottom="1" header="0.5" footer="0.5"/>
      <pageSetup paperSize="9" scale="95" orientation="portrait" r:id="rId2"/>
      <headerFooter alignWithMargins="0"/>
    </customSheetView>
  </customSheetViews>
  <mergeCells count="2">
    <mergeCell ref="H2:J2"/>
    <mergeCell ref="C3:G3"/>
  </mergeCells>
  <phoneticPr fontId="2" type="noConversion"/>
  <pageMargins left="0.21" right="0.17" top="1" bottom="1" header="0.5" footer="0.5"/>
  <pageSetup paperSize="9" scale="95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G22" sqref="G22"/>
    </sheetView>
  </sheetViews>
  <sheetFormatPr defaultRowHeight="13.5" x14ac:dyDescent="0.25"/>
  <cols>
    <col min="1" max="1" width="4.28515625" style="4" customWidth="1"/>
    <col min="2" max="2" width="17.85546875" style="100" customWidth="1"/>
    <col min="3" max="3" width="12.5703125" style="92" customWidth="1"/>
    <col min="4" max="4" width="17.7109375" style="100" customWidth="1"/>
    <col min="5" max="5" width="16.140625" style="100" customWidth="1"/>
    <col min="6" max="6" width="16.28515625" style="92" customWidth="1"/>
    <col min="7" max="7" width="14" style="4" customWidth="1"/>
    <col min="8" max="8" width="15.140625" style="4" customWidth="1"/>
    <col min="9" max="16384" width="9.140625" style="5"/>
  </cols>
  <sheetData>
    <row r="1" spans="1:14" s="32" customFormat="1" x14ac:dyDescent="0.25">
      <c r="B1" s="3"/>
      <c r="C1" s="3"/>
      <c r="D1" s="111"/>
      <c r="E1" s="111"/>
      <c r="F1" s="568"/>
      <c r="G1" s="568"/>
      <c r="H1" s="31"/>
      <c r="I1" s="124" t="s">
        <v>100</v>
      </c>
      <c r="J1" s="3"/>
      <c r="K1" s="31"/>
      <c r="L1" s="31"/>
      <c r="M1" s="31"/>
      <c r="N1" s="31"/>
    </row>
    <row r="2" spans="1:14" s="32" customFormat="1" x14ac:dyDescent="0.25">
      <c r="A2" s="283"/>
      <c r="B2" s="3"/>
      <c r="C2" s="3"/>
      <c r="D2" s="111"/>
      <c r="E2" s="111"/>
      <c r="F2" s="568"/>
      <c r="G2" s="568"/>
      <c r="H2" s="568" t="s">
        <v>11</v>
      </c>
      <c r="I2" s="568"/>
      <c r="J2" s="568"/>
      <c r="K2" s="31"/>
      <c r="L2" s="31"/>
      <c r="M2" s="31"/>
      <c r="N2" s="31"/>
    </row>
    <row r="3" spans="1:14" s="32" customFormat="1" ht="27.95" customHeight="1" thickBot="1" x14ac:dyDescent="0.35">
      <c r="B3" s="549" t="s">
        <v>12</v>
      </c>
      <c r="C3" s="549"/>
      <c r="D3" s="577" t="s">
        <v>380</v>
      </c>
      <c r="E3" s="577"/>
      <c r="F3" s="577"/>
      <c r="G3" s="577"/>
      <c r="H3" s="577"/>
    </row>
    <row r="4" spans="1:14" s="32" customFormat="1" ht="14.25" x14ac:dyDescent="0.25">
      <c r="A4" s="31"/>
      <c r="B4" s="111"/>
      <c r="C4" s="104"/>
      <c r="D4" s="3"/>
      <c r="E4" s="3"/>
      <c r="F4" s="112"/>
      <c r="G4" s="125"/>
      <c r="H4" s="33"/>
    </row>
    <row r="5" spans="1:14" s="32" customFormat="1" x14ac:dyDescent="0.25">
      <c r="A5" s="31"/>
      <c r="B5" s="44" t="s">
        <v>61</v>
      </c>
      <c r="C5" s="112"/>
      <c r="D5" s="112"/>
      <c r="E5" s="112"/>
      <c r="F5" s="112"/>
      <c r="G5" s="125"/>
      <c r="H5" s="31"/>
    </row>
    <row r="6" spans="1:14" s="32" customFormat="1" ht="27" x14ac:dyDescent="0.25">
      <c r="A6" s="31"/>
      <c r="B6" s="112" t="s">
        <v>291</v>
      </c>
      <c r="C6" s="112"/>
      <c r="D6" s="112"/>
      <c r="E6" s="112"/>
      <c r="F6" s="112"/>
      <c r="G6" s="283"/>
      <c r="H6" s="31"/>
    </row>
    <row r="7" spans="1:14" x14ac:dyDescent="0.25">
      <c r="A7" s="31"/>
      <c r="B7" s="111"/>
      <c r="C7" s="104"/>
      <c r="D7" s="111"/>
      <c r="E7" s="111"/>
      <c r="F7" s="104"/>
      <c r="G7" s="31"/>
    </row>
    <row r="8" spans="1:14" s="16" customFormat="1" ht="63" customHeight="1" x14ac:dyDescent="0.25">
      <c r="A8" s="114" t="s">
        <v>97</v>
      </c>
      <c r="B8" s="65" t="s">
        <v>113</v>
      </c>
      <c r="C8" s="65" t="s">
        <v>114</v>
      </c>
      <c r="D8" s="14" t="s">
        <v>115</v>
      </c>
      <c r="E8" s="14" t="s">
        <v>116</v>
      </c>
      <c r="F8" s="64" t="s">
        <v>257</v>
      </c>
      <c r="G8" s="64" t="s">
        <v>256</v>
      </c>
      <c r="H8" s="116" t="s">
        <v>119</v>
      </c>
    </row>
    <row r="9" spans="1:14" s="16" customFormat="1" ht="18" customHeight="1" x14ac:dyDescent="0.25">
      <c r="A9" s="78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78">
        <v>7</v>
      </c>
      <c r="H9" s="78">
        <v>8</v>
      </c>
    </row>
    <row r="10" spans="1:14" s="16" customFormat="1" ht="24.75" customHeight="1" x14ac:dyDescent="0.25">
      <c r="A10" s="118">
        <v>1</v>
      </c>
      <c r="B10" s="14" t="s">
        <v>376</v>
      </c>
      <c r="C10" s="65" t="s">
        <v>117</v>
      </c>
      <c r="D10" s="14">
        <v>8451</v>
      </c>
      <c r="E10" s="14">
        <v>1540</v>
      </c>
      <c r="F10" s="14">
        <v>27.4</v>
      </c>
      <c r="G10" s="80">
        <f>E10*F10</f>
        <v>42196</v>
      </c>
      <c r="H10" s="360">
        <f>G10*0.04498</f>
        <v>1897.9760799999999</v>
      </c>
    </row>
    <row r="11" spans="1:14" s="16" customFormat="1" ht="30.75" customHeight="1" x14ac:dyDescent="0.25">
      <c r="A11" s="78">
        <v>2</v>
      </c>
      <c r="B11" s="14"/>
      <c r="C11" s="65"/>
      <c r="D11" s="14"/>
      <c r="E11" s="14"/>
      <c r="F11" s="14"/>
      <c r="G11" s="80">
        <f>E11*F11</f>
        <v>0</v>
      </c>
      <c r="H11" s="360">
        <f>G11*0.04498</f>
        <v>0</v>
      </c>
    </row>
    <row r="12" spans="1:14" ht="21.75" customHeight="1" x14ac:dyDescent="0.25">
      <c r="A12" s="126">
        <v>2</v>
      </c>
      <c r="B12" s="25" t="s">
        <v>377</v>
      </c>
      <c r="C12" s="65" t="s">
        <v>117</v>
      </c>
      <c r="D12" s="25">
        <v>8240</v>
      </c>
      <c r="E12" s="25">
        <v>796</v>
      </c>
      <c r="F12" s="76">
        <v>27.4</v>
      </c>
      <c r="G12" s="80">
        <f>E12*F12</f>
        <v>21810.399999999998</v>
      </c>
      <c r="H12" s="360">
        <f>G12*0.04498</f>
        <v>981.03179199999988</v>
      </c>
    </row>
    <row r="13" spans="1:14" ht="28.5" customHeight="1" x14ac:dyDescent="0.25">
      <c r="A13" s="72"/>
      <c r="B13" s="75"/>
      <c r="C13" s="65" t="s">
        <v>118</v>
      </c>
      <c r="D13" s="25"/>
      <c r="E13" s="25"/>
      <c r="F13" s="76"/>
      <c r="G13" s="80">
        <f>E13*F13</f>
        <v>0</v>
      </c>
      <c r="H13" s="360">
        <f>G13*0.04498</f>
        <v>0</v>
      </c>
    </row>
    <row r="14" spans="1:14" ht="33.75" customHeight="1" x14ac:dyDescent="0.3">
      <c r="A14" s="126"/>
      <c r="B14" s="119" t="s">
        <v>96</v>
      </c>
      <c r="C14" s="120" t="s">
        <v>1</v>
      </c>
      <c r="D14" s="120" t="s">
        <v>1</v>
      </c>
      <c r="E14" s="120" t="s">
        <v>1</v>
      </c>
      <c r="F14" s="120" t="s">
        <v>1</v>
      </c>
      <c r="G14" s="127">
        <f>SUM(G10:G13)</f>
        <v>64006.399999999994</v>
      </c>
      <c r="H14" s="127">
        <f>SUM(H10:H13)</f>
        <v>2879.0078719999997</v>
      </c>
    </row>
  </sheetData>
  <customSheetViews>
    <customSheetView guid="{EE5C0AFB-B96A-4C3C-885D-9A248AEB532B}" showPageBreaks="1" showRuler="0">
      <selection activeCell="G9" sqref="G9"/>
      <pageMargins left="0.75" right="0.75" top="1" bottom="1" header="0.5" footer="0.5"/>
      <pageSetup paperSize="9" orientation="portrait" r:id="rId1"/>
      <headerFooter alignWithMargins="0"/>
    </customSheetView>
    <customSheetView guid="{D9EA75C0-4948-47E2-929C-5FF812E82023}" showRuler="0">
      <selection activeCell="B5" sqref="B5"/>
      <pageMargins left="0.75" right="0.75" top="1" bottom="1" header="0.5" footer="0.5"/>
      <pageSetup paperSize="9" orientation="portrait" r:id="rId2"/>
      <headerFooter alignWithMargins="0"/>
    </customSheetView>
  </customSheetViews>
  <mergeCells count="5">
    <mergeCell ref="B3:C3"/>
    <mergeCell ref="F1:G1"/>
    <mergeCell ref="F2:G2"/>
    <mergeCell ref="H2:J2"/>
    <mergeCell ref="D3:H3"/>
  </mergeCells>
  <phoneticPr fontId="2" type="noConversion"/>
  <pageMargins left="0.46" right="0.23" top="0.61" bottom="1" header="0.28999999999999998" footer="0.5"/>
  <pageSetup paperSize="9" scale="7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E1" workbookViewId="0">
      <selection activeCell="L30" sqref="L30"/>
    </sheetView>
  </sheetViews>
  <sheetFormatPr defaultRowHeight="13.5" x14ac:dyDescent="0.25"/>
  <cols>
    <col min="1" max="1" width="3.42578125" style="4" customWidth="1"/>
    <col min="2" max="2" width="22.7109375" style="5" customWidth="1"/>
    <col min="3" max="3" width="9.85546875" style="5" bestFit="1" customWidth="1"/>
    <col min="4" max="4" width="8.7109375" style="5" bestFit="1" customWidth="1"/>
    <col min="5" max="5" width="6.85546875" style="163" customWidth="1"/>
    <col min="6" max="6" width="11.5703125" style="163" customWidth="1"/>
    <col min="7" max="7" width="9.5703125" style="5" bestFit="1" customWidth="1"/>
    <col min="8" max="8" width="9.5703125" style="5" customWidth="1"/>
    <col min="9" max="9" width="10.85546875" style="5" bestFit="1" customWidth="1"/>
    <col min="10" max="10" width="9.7109375" style="5" customWidth="1"/>
    <col min="11" max="11" width="11.140625" style="5" customWidth="1"/>
    <col min="12" max="12" width="7.28515625" style="163" customWidth="1"/>
    <col min="13" max="13" width="11.5703125" style="163" customWidth="1"/>
    <col min="14" max="14" width="9.5703125" style="5" bestFit="1" customWidth="1"/>
    <col min="15" max="15" width="9.5703125" style="5" customWidth="1"/>
    <col min="16" max="16" width="10.85546875" style="5" bestFit="1" customWidth="1"/>
    <col min="17" max="17" width="9.5703125" style="5" customWidth="1"/>
    <col min="18" max="18" width="11.140625" style="5" customWidth="1"/>
    <col min="19" max="19" width="10.7109375" style="5" bestFit="1" customWidth="1"/>
    <col min="20" max="16384" width="9.140625" style="5"/>
  </cols>
  <sheetData>
    <row r="1" spans="1:23" s="32" customFormat="1" x14ac:dyDescent="0.25">
      <c r="A1" s="283"/>
      <c r="B1" s="3"/>
      <c r="C1" s="3"/>
      <c r="D1" s="3"/>
      <c r="E1" s="3"/>
      <c r="F1" s="111"/>
      <c r="G1" s="111"/>
      <c r="H1" s="111"/>
      <c r="I1" s="3"/>
      <c r="J1" s="3"/>
      <c r="K1" s="131"/>
      <c r="L1" s="131"/>
      <c r="M1" s="131"/>
      <c r="N1" s="131"/>
      <c r="O1" s="131"/>
      <c r="P1" s="31"/>
      <c r="Q1" s="124" t="s">
        <v>120</v>
      </c>
      <c r="R1" s="3"/>
      <c r="S1" s="568"/>
      <c r="T1" s="568"/>
      <c r="U1" s="568"/>
      <c r="V1" s="568"/>
      <c r="W1" s="568"/>
    </row>
    <row r="2" spans="1:23" s="32" customFormat="1" ht="12.75" customHeight="1" x14ac:dyDescent="0.25">
      <c r="A2" s="283"/>
      <c r="B2" s="3"/>
      <c r="C2" s="3"/>
      <c r="D2" s="3"/>
      <c r="E2" s="3"/>
      <c r="F2" s="111"/>
      <c r="G2" s="111"/>
      <c r="H2" s="111"/>
      <c r="I2" s="3"/>
      <c r="J2" s="3"/>
      <c r="K2" s="131"/>
      <c r="L2" s="131"/>
      <c r="M2" s="131"/>
      <c r="N2" s="131"/>
      <c r="O2" s="131"/>
      <c r="P2" s="568" t="s">
        <v>11</v>
      </c>
      <c r="Q2" s="568"/>
      <c r="R2" s="568"/>
      <c r="S2" s="568"/>
      <c r="T2" s="568"/>
      <c r="U2" s="568"/>
      <c r="V2" s="568"/>
      <c r="W2" s="568"/>
    </row>
    <row r="3" spans="1:23" s="32" customFormat="1" ht="18" thickBot="1" x14ac:dyDescent="0.35">
      <c r="B3" s="549" t="s">
        <v>12</v>
      </c>
      <c r="C3" s="549"/>
      <c r="D3" s="549"/>
      <c r="E3" s="549"/>
      <c r="F3" s="577" t="s">
        <v>380</v>
      </c>
      <c r="G3" s="577"/>
      <c r="H3" s="577"/>
      <c r="I3" s="577"/>
      <c r="J3" s="577"/>
      <c r="K3" s="131"/>
      <c r="L3" s="131"/>
      <c r="M3" s="131"/>
      <c r="N3" s="131"/>
      <c r="O3" s="131"/>
      <c r="P3" s="131"/>
      <c r="Q3" s="131"/>
      <c r="R3" s="131"/>
      <c r="T3" s="32" t="s">
        <v>0</v>
      </c>
    </row>
    <row r="4" spans="1:23" s="32" customFormat="1" ht="18" customHeight="1" x14ac:dyDescent="0.25">
      <c r="A4" s="31"/>
      <c r="B4" s="581" t="s">
        <v>122</v>
      </c>
      <c r="C4" s="581"/>
      <c r="D4" s="581"/>
      <c r="E4" s="581"/>
      <c r="F4" s="581"/>
      <c r="G4" s="581"/>
      <c r="H4" s="581"/>
      <c r="I4" s="581"/>
      <c r="J4" s="581"/>
      <c r="K4" s="581"/>
      <c r="L4" s="40"/>
      <c r="M4" s="40"/>
      <c r="N4" s="40"/>
      <c r="O4" s="40"/>
      <c r="P4" s="40"/>
      <c r="Q4" s="40"/>
      <c r="R4" s="40"/>
    </row>
    <row r="5" spans="1:23" s="32" customFormat="1" x14ac:dyDescent="0.25">
      <c r="A5" s="31"/>
      <c r="B5" s="169"/>
      <c r="C5" s="169"/>
      <c r="D5" s="169"/>
      <c r="E5" s="289"/>
      <c r="F5" s="289"/>
      <c r="G5" s="169"/>
      <c r="H5" s="169"/>
      <c r="I5" s="169"/>
      <c r="J5" s="169"/>
      <c r="K5" s="169"/>
      <c r="L5" s="290"/>
      <c r="M5" s="290"/>
      <c r="N5" s="10"/>
      <c r="O5" s="10"/>
      <c r="P5" s="10"/>
      <c r="Q5" s="10"/>
      <c r="R5" s="10"/>
    </row>
    <row r="6" spans="1:23" s="32" customFormat="1" ht="14.25" x14ac:dyDescent="0.25">
      <c r="A6" s="31"/>
      <c r="B6" s="581" t="s">
        <v>123</v>
      </c>
      <c r="C6" s="581"/>
      <c r="D6" s="581"/>
      <c r="E6" s="581"/>
      <c r="F6" s="581"/>
      <c r="G6" s="581"/>
      <c r="H6" s="581"/>
      <c r="I6" s="581"/>
      <c r="J6" s="581"/>
      <c r="K6" s="581"/>
      <c r="L6" s="172"/>
      <c r="M6" s="172"/>
      <c r="N6" s="172"/>
      <c r="O6" s="172"/>
      <c r="P6" s="172"/>
      <c r="Q6" s="172"/>
      <c r="R6" s="172"/>
    </row>
    <row r="7" spans="1:23" s="32" customFormat="1" ht="14.25" x14ac:dyDescent="0.25">
      <c r="A7" s="31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</row>
    <row r="8" spans="1:23" s="32" customFormat="1" ht="15" thickBot="1" x14ac:dyDescent="0.3">
      <c r="A8" s="31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587" t="s">
        <v>124</v>
      </c>
      <c r="S8" s="587"/>
    </row>
    <row r="9" spans="1:23" ht="15" thickBot="1" x14ac:dyDescent="0.3">
      <c r="A9" s="132"/>
      <c r="B9" s="133"/>
      <c r="C9" s="584" t="s">
        <v>292</v>
      </c>
      <c r="D9" s="585"/>
      <c r="E9" s="578" t="s">
        <v>210</v>
      </c>
      <c r="F9" s="579"/>
      <c r="G9" s="579"/>
      <c r="H9" s="579"/>
      <c r="I9" s="579"/>
      <c r="J9" s="579"/>
      <c r="K9" s="580"/>
      <c r="L9" s="586" t="s">
        <v>240</v>
      </c>
      <c r="M9" s="579"/>
      <c r="N9" s="579"/>
      <c r="O9" s="579"/>
      <c r="P9" s="579"/>
      <c r="Q9" s="579"/>
      <c r="R9" s="580"/>
      <c r="S9" s="134"/>
    </row>
    <row r="10" spans="1:23" ht="21.75" customHeight="1" x14ac:dyDescent="0.25">
      <c r="A10" s="135"/>
      <c r="B10" s="136"/>
      <c r="C10" s="244"/>
      <c r="D10" s="244"/>
      <c r="E10" s="246"/>
      <c r="F10" s="137"/>
      <c r="G10" s="137"/>
      <c r="H10" s="582" t="s">
        <v>132</v>
      </c>
      <c r="I10" s="583"/>
      <c r="J10" s="137"/>
      <c r="K10" s="138"/>
      <c r="L10" s="139"/>
      <c r="M10" s="137"/>
      <c r="N10" s="137"/>
      <c r="O10" s="582" t="s">
        <v>132</v>
      </c>
      <c r="P10" s="583"/>
      <c r="Q10" s="137"/>
      <c r="R10" s="138"/>
      <c r="S10" s="140"/>
    </row>
    <row r="11" spans="1:23" s="16" customFormat="1" ht="63.95" customHeight="1" thickBot="1" x14ac:dyDescent="0.3">
      <c r="A11" s="141" t="s">
        <v>97</v>
      </c>
      <c r="B11" s="142" t="s">
        <v>125</v>
      </c>
      <c r="C11" s="245" t="s">
        <v>127</v>
      </c>
      <c r="D11" s="245" t="s">
        <v>131</v>
      </c>
      <c r="E11" s="241" t="s">
        <v>126</v>
      </c>
      <c r="F11" s="143" t="s">
        <v>127</v>
      </c>
      <c r="G11" s="143" t="s">
        <v>128</v>
      </c>
      <c r="H11" s="144" t="s">
        <v>129</v>
      </c>
      <c r="I11" s="144" t="s">
        <v>96</v>
      </c>
      <c r="J11" s="143" t="s">
        <v>130</v>
      </c>
      <c r="K11" s="145" t="s">
        <v>131</v>
      </c>
      <c r="L11" s="146" t="s">
        <v>126</v>
      </c>
      <c r="M11" s="143" t="s">
        <v>127</v>
      </c>
      <c r="N11" s="143" t="s">
        <v>128</v>
      </c>
      <c r="O11" s="144" t="s">
        <v>129</v>
      </c>
      <c r="P11" s="144" t="s">
        <v>96</v>
      </c>
      <c r="Q11" s="143" t="s">
        <v>133</v>
      </c>
      <c r="R11" s="145" t="s">
        <v>131</v>
      </c>
      <c r="S11" s="147" t="s">
        <v>134</v>
      </c>
    </row>
    <row r="12" spans="1:23" s="16" customFormat="1" thickBot="1" x14ac:dyDescent="0.3">
      <c r="A12" s="101">
        <v>1</v>
      </c>
      <c r="B12" s="102">
        <v>2</v>
      </c>
      <c r="C12" s="101">
        <v>3</v>
      </c>
      <c r="D12" s="101">
        <v>4</v>
      </c>
      <c r="E12" s="102">
        <v>5</v>
      </c>
      <c r="F12" s="101">
        <v>6</v>
      </c>
      <c r="G12" s="101">
        <v>7</v>
      </c>
      <c r="H12" s="102">
        <v>8</v>
      </c>
      <c r="I12" s="101">
        <v>9</v>
      </c>
      <c r="J12" s="101">
        <v>10</v>
      </c>
      <c r="K12" s="102">
        <v>11</v>
      </c>
      <c r="L12" s="101">
        <v>12</v>
      </c>
      <c r="M12" s="101">
        <v>13</v>
      </c>
      <c r="N12" s="102">
        <v>14</v>
      </c>
      <c r="O12" s="101">
        <v>15</v>
      </c>
      <c r="P12" s="101">
        <v>16</v>
      </c>
      <c r="Q12" s="102">
        <v>17</v>
      </c>
      <c r="R12" s="101">
        <v>18</v>
      </c>
      <c r="S12" s="101">
        <v>19</v>
      </c>
    </row>
    <row r="13" spans="1:23" ht="20.25" customHeight="1" x14ac:dyDescent="0.25">
      <c r="A13" s="148">
        <v>1</v>
      </c>
      <c r="B13" s="471" t="s">
        <v>382</v>
      </c>
      <c r="C13" s="471">
        <v>50</v>
      </c>
      <c r="D13" s="471">
        <v>1450</v>
      </c>
      <c r="E13" s="473">
        <v>10</v>
      </c>
      <c r="F13" s="473">
        <v>56</v>
      </c>
      <c r="G13" s="149">
        <v>1994</v>
      </c>
      <c r="H13" s="149"/>
      <c r="I13" s="149">
        <f>(E13-1)*F13*H13</f>
        <v>0</v>
      </c>
      <c r="J13" s="473">
        <v>1.2</v>
      </c>
      <c r="K13" s="149">
        <v>1816.4</v>
      </c>
      <c r="L13" s="473">
        <v>10</v>
      </c>
      <c r="M13" s="473">
        <v>52</v>
      </c>
      <c r="N13" s="149">
        <f>L13*M13*3</f>
        <v>1560</v>
      </c>
      <c r="O13" s="474">
        <v>5</v>
      </c>
      <c r="P13" s="149">
        <f>(L13-1)*M13*O13</f>
        <v>2340</v>
      </c>
      <c r="Q13" s="473">
        <v>1.2</v>
      </c>
      <c r="R13" s="152">
        <f>N13+P13+(Q13*M13*2)</f>
        <v>4024.8</v>
      </c>
      <c r="S13" s="150">
        <f>R13-K13</f>
        <v>2208.4</v>
      </c>
    </row>
    <row r="14" spans="1:23" ht="20.25" customHeight="1" x14ac:dyDescent="0.25">
      <c r="A14" s="151">
        <v>2</v>
      </c>
      <c r="B14" s="472" t="s">
        <v>383</v>
      </c>
      <c r="C14" s="471">
        <v>45</v>
      </c>
      <c r="D14" s="471">
        <v>780</v>
      </c>
      <c r="E14" s="473">
        <v>9</v>
      </c>
      <c r="F14" s="473">
        <v>38</v>
      </c>
      <c r="G14" s="149">
        <f>E14*F14*3</f>
        <v>1026</v>
      </c>
      <c r="H14" s="149"/>
      <c r="I14" s="149">
        <f>(E14-1)*F14*H14</f>
        <v>0</v>
      </c>
      <c r="J14" s="473">
        <v>1</v>
      </c>
      <c r="K14" s="152">
        <f>G14+I14+(J14*F14*2)</f>
        <v>1102</v>
      </c>
      <c r="L14" s="473">
        <v>8</v>
      </c>
      <c r="M14" s="473">
        <v>41</v>
      </c>
      <c r="N14" s="149">
        <f>L14*M14*3</f>
        <v>984</v>
      </c>
      <c r="O14" s="474">
        <v>5</v>
      </c>
      <c r="P14" s="149">
        <f>(L14-1)*M14*O14</f>
        <v>1435</v>
      </c>
      <c r="Q14" s="473">
        <v>1</v>
      </c>
      <c r="R14" s="152">
        <f>N14+P14+(Q14*M14*2)</f>
        <v>2501</v>
      </c>
      <c r="S14" s="150">
        <f>R14-K14</f>
        <v>1399</v>
      </c>
    </row>
    <row r="15" spans="1:23" ht="20.25" customHeight="1" x14ac:dyDescent="0.25">
      <c r="A15" s="151">
        <v>3</v>
      </c>
      <c r="B15" s="472" t="s">
        <v>384</v>
      </c>
      <c r="C15" s="471">
        <v>30</v>
      </c>
      <c r="D15" s="471">
        <v>869.8</v>
      </c>
      <c r="E15" s="473">
        <v>8</v>
      </c>
      <c r="F15" s="473">
        <v>32</v>
      </c>
      <c r="G15" s="149">
        <f>E15*F15*3</f>
        <v>768</v>
      </c>
      <c r="H15" s="149"/>
      <c r="I15" s="149">
        <f>(E15-1)*F15*H15</f>
        <v>0</v>
      </c>
      <c r="J15" s="473">
        <v>1.4</v>
      </c>
      <c r="K15" s="152">
        <f>G15+I15+(J15*F15*2)</f>
        <v>857.6</v>
      </c>
      <c r="L15" s="473">
        <v>6</v>
      </c>
      <c r="M15" s="473">
        <v>31</v>
      </c>
      <c r="N15" s="149">
        <f>L15*M15*3</f>
        <v>558</v>
      </c>
      <c r="O15" s="474">
        <v>5</v>
      </c>
      <c r="P15" s="149">
        <f>(L15-1)*M15*O15</f>
        <v>775</v>
      </c>
      <c r="Q15" s="473">
        <v>1.5</v>
      </c>
      <c r="R15" s="152">
        <f>N15+P15+(Q15*M15*2)</f>
        <v>1426</v>
      </c>
      <c r="S15" s="150">
        <f>R15-K15</f>
        <v>568.4</v>
      </c>
    </row>
    <row r="16" spans="1:23" ht="20.25" customHeight="1" x14ac:dyDescent="0.25">
      <c r="A16" s="151">
        <v>4</v>
      </c>
      <c r="B16" s="472" t="s">
        <v>385</v>
      </c>
      <c r="C16" s="471">
        <v>20</v>
      </c>
      <c r="D16" s="471">
        <v>60</v>
      </c>
      <c r="E16" s="473">
        <v>3</v>
      </c>
      <c r="F16" s="473">
        <v>30</v>
      </c>
      <c r="G16" s="149">
        <f>E16*F16*3</f>
        <v>270</v>
      </c>
      <c r="H16" s="149"/>
      <c r="I16" s="149">
        <f>(E16-1)*F16*H16</f>
        <v>0</v>
      </c>
      <c r="J16" s="473">
        <v>0.2</v>
      </c>
      <c r="K16" s="152">
        <f>G16+I16+(J16*F16*2)</f>
        <v>282</v>
      </c>
      <c r="L16" s="473">
        <v>3</v>
      </c>
      <c r="M16" s="473">
        <v>32</v>
      </c>
      <c r="N16" s="149">
        <f>L16*M16*3</f>
        <v>288</v>
      </c>
      <c r="O16" s="474"/>
      <c r="P16" s="149">
        <f>(L16-1)*M16*O16</f>
        <v>0</v>
      </c>
      <c r="Q16" s="473">
        <v>0.3</v>
      </c>
      <c r="R16" s="152">
        <f>N16+P16+(Q16*M16*2)</f>
        <v>307.2</v>
      </c>
      <c r="S16" s="150">
        <f>R16-K16</f>
        <v>25.199999999999989</v>
      </c>
    </row>
    <row r="17" spans="1:19" ht="20.25" customHeight="1" x14ac:dyDescent="0.25">
      <c r="A17" s="151"/>
      <c r="B17" s="11"/>
      <c r="C17" s="242"/>
      <c r="D17" s="242"/>
      <c r="E17" s="105"/>
      <c r="F17" s="105"/>
      <c r="G17" s="149">
        <f t="shared" ref="G17:G23" si="0">E17*F17*3</f>
        <v>0</v>
      </c>
      <c r="H17" s="149"/>
      <c r="I17" s="149">
        <f t="shared" ref="I17:I23" si="1">(E17-1)*F17*H17</f>
        <v>0</v>
      </c>
      <c r="J17" s="105"/>
      <c r="K17" s="152">
        <f t="shared" ref="K17:K23" si="2">G17+I17+(J17*F17*2)</f>
        <v>0</v>
      </c>
      <c r="L17" s="105"/>
      <c r="M17" s="105"/>
      <c r="N17" s="149">
        <f t="shared" ref="N17:N23" si="3">L17*M17*3</f>
        <v>0</v>
      </c>
      <c r="O17" s="149"/>
      <c r="P17" s="149">
        <f t="shared" ref="P17:P23" si="4">(L17-1)*M17*O17</f>
        <v>0</v>
      </c>
      <c r="Q17" s="105"/>
      <c r="R17" s="152">
        <f t="shared" ref="R17:R23" si="5">N17+P17+(Q17*M17*2)</f>
        <v>0</v>
      </c>
      <c r="S17" s="150">
        <f t="shared" ref="S17:S23" si="6">R17-K17</f>
        <v>0</v>
      </c>
    </row>
    <row r="18" spans="1:19" ht="20.25" customHeight="1" x14ac:dyDescent="0.25">
      <c r="A18" s="151"/>
      <c r="B18" s="11"/>
      <c r="C18" s="242"/>
      <c r="D18" s="242"/>
      <c r="E18" s="105"/>
      <c r="F18" s="105"/>
      <c r="G18" s="149">
        <f t="shared" si="0"/>
        <v>0</v>
      </c>
      <c r="H18" s="149"/>
      <c r="I18" s="149">
        <f t="shared" si="1"/>
        <v>0</v>
      </c>
      <c r="J18" s="105"/>
      <c r="K18" s="152">
        <f t="shared" si="2"/>
        <v>0</v>
      </c>
      <c r="L18" s="105"/>
      <c r="M18" s="105"/>
      <c r="N18" s="149">
        <f t="shared" si="3"/>
        <v>0</v>
      </c>
      <c r="O18" s="149"/>
      <c r="P18" s="149">
        <f t="shared" si="4"/>
        <v>0</v>
      </c>
      <c r="Q18" s="105"/>
      <c r="R18" s="152">
        <f t="shared" si="5"/>
        <v>0</v>
      </c>
      <c r="S18" s="150">
        <f t="shared" si="6"/>
        <v>0</v>
      </c>
    </row>
    <row r="19" spans="1:19" ht="20.25" customHeight="1" x14ac:dyDescent="0.25">
      <c r="A19" s="151"/>
      <c r="B19" s="11"/>
      <c r="C19" s="242"/>
      <c r="D19" s="242"/>
      <c r="E19" s="105"/>
      <c r="F19" s="105"/>
      <c r="G19" s="149">
        <f t="shared" si="0"/>
        <v>0</v>
      </c>
      <c r="H19" s="149"/>
      <c r="I19" s="149">
        <f t="shared" si="1"/>
        <v>0</v>
      </c>
      <c r="J19" s="105"/>
      <c r="K19" s="152">
        <f t="shared" si="2"/>
        <v>0</v>
      </c>
      <c r="L19" s="105"/>
      <c r="M19" s="105"/>
      <c r="N19" s="149">
        <f t="shared" si="3"/>
        <v>0</v>
      </c>
      <c r="O19" s="149"/>
      <c r="P19" s="149">
        <f t="shared" si="4"/>
        <v>0</v>
      </c>
      <c r="Q19" s="105"/>
      <c r="R19" s="152">
        <f t="shared" si="5"/>
        <v>0</v>
      </c>
      <c r="S19" s="150">
        <f t="shared" si="6"/>
        <v>0</v>
      </c>
    </row>
    <row r="20" spans="1:19" ht="20.25" customHeight="1" x14ac:dyDescent="0.25">
      <c r="A20" s="151"/>
      <c r="B20" s="11"/>
      <c r="C20" s="242"/>
      <c r="D20" s="242"/>
      <c r="E20" s="105"/>
      <c r="F20" s="105"/>
      <c r="G20" s="149">
        <f t="shared" si="0"/>
        <v>0</v>
      </c>
      <c r="H20" s="149"/>
      <c r="I20" s="149">
        <f t="shared" si="1"/>
        <v>0</v>
      </c>
      <c r="J20" s="105"/>
      <c r="K20" s="152">
        <f t="shared" si="2"/>
        <v>0</v>
      </c>
      <c r="L20" s="105"/>
      <c r="M20" s="105"/>
      <c r="N20" s="149">
        <f t="shared" si="3"/>
        <v>0</v>
      </c>
      <c r="O20" s="149"/>
      <c r="P20" s="149">
        <f t="shared" si="4"/>
        <v>0</v>
      </c>
      <c r="Q20" s="105"/>
      <c r="R20" s="152">
        <f t="shared" si="5"/>
        <v>0</v>
      </c>
      <c r="S20" s="150">
        <f t="shared" si="6"/>
        <v>0</v>
      </c>
    </row>
    <row r="21" spans="1:19" ht="25.5" customHeight="1" x14ac:dyDescent="0.25">
      <c r="A21" s="151"/>
      <c r="B21" s="11"/>
      <c r="C21" s="242"/>
      <c r="D21" s="242"/>
      <c r="E21" s="105"/>
      <c r="F21" s="105"/>
      <c r="G21" s="149">
        <f t="shared" si="0"/>
        <v>0</v>
      </c>
      <c r="H21" s="149"/>
      <c r="I21" s="149">
        <f t="shared" si="1"/>
        <v>0</v>
      </c>
      <c r="J21" s="105"/>
      <c r="K21" s="152">
        <f t="shared" si="2"/>
        <v>0</v>
      </c>
      <c r="L21" s="105"/>
      <c r="M21" s="105"/>
      <c r="N21" s="149">
        <f t="shared" si="3"/>
        <v>0</v>
      </c>
      <c r="O21" s="149"/>
      <c r="P21" s="149">
        <f t="shared" si="4"/>
        <v>0</v>
      </c>
      <c r="Q21" s="105"/>
      <c r="R21" s="152">
        <f t="shared" si="5"/>
        <v>0</v>
      </c>
      <c r="S21" s="150">
        <f t="shared" si="6"/>
        <v>0</v>
      </c>
    </row>
    <row r="22" spans="1:19" ht="15" customHeight="1" x14ac:dyDescent="0.25">
      <c r="A22" s="151"/>
      <c r="B22" s="11"/>
      <c r="C22" s="242"/>
      <c r="D22" s="242"/>
      <c r="E22" s="105"/>
      <c r="F22" s="105"/>
      <c r="G22" s="149">
        <f t="shared" si="0"/>
        <v>0</v>
      </c>
      <c r="H22" s="149"/>
      <c r="I22" s="149">
        <f t="shared" si="1"/>
        <v>0</v>
      </c>
      <c r="J22" s="105"/>
      <c r="K22" s="152">
        <f t="shared" si="2"/>
        <v>0</v>
      </c>
      <c r="L22" s="105"/>
      <c r="M22" s="105"/>
      <c r="N22" s="149">
        <f t="shared" si="3"/>
        <v>0</v>
      </c>
      <c r="O22" s="149"/>
      <c r="P22" s="149">
        <f t="shared" si="4"/>
        <v>0</v>
      </c>
      <c r="Q22" s="105"/>
      <c r="R22" s="152">
        <f t="shared" si="5"/>
        <v>0</v>
      </c>
      <c r="S22" s="150">
        <f t="shared" si="6"/>
        <v>0</v>
      </c>
    </row>
    <row r="23" spans="1:19" ht="16.5" customHeight="1" thickBot="1" x14ac:dyDescent="0.3">
      <c r="A23" s="153"/>
      <c r="B23" s="154"/>
      <c r="C23" s="243"/>
      <c r="D23" s="243"/>
      <c r="E23" s="105"/>
      <c r="F23" s="105"/>
      <c r="G23" s="149">
        <f t="shared" si="0"/>
        <v>0</v>
      </c>
      <c r="H23" s="149"/>
      <c r="I23" s="149">
        <f t="shared" si="1"/>
        <v>0</v>
      </c>
      <c r="J23" s="105"/>
      <c r="K23" s="152">
        <f t="shared" si="2"/>
        <v>0</v>
      </c>
      <c r="L23" s="105"/>
      <c r="M23" s="105"/>
      <c r="N23" s="149">
        <f t="shared" si="3"/>
        <v>0</v>
      </c>
      <c r="O23" s="149"/>
      <c r="P23" s="149">
        <f t="shared" si="4"/>
        <v>0</v>
      </c>
      <c r="Q23" s="105"/>
      <c r="R23" s="152">
        <f t="shared" si="5"/>
        <v>0</v>
      </c>
      <c r="S23" s="150">
        <f t="shared" si="6"/>
        <v>0</v>
      </c>
    </row>
    <row r="24" spans="1:19" ht="18" customHeight="1" thickBot="1" x14ac:dyDescent="0.3">
      <c r="A24" s="155"/>
      <c r="B24" s="156" t="s">
        <v>96</v>
      </c>
      <c r="C24" s="156"/>
      <c r="D24" s="156"/>
      <c r="E24" s="157"/>
      <c r="F24" s="157"/>
      <c r="G24" s="158">
        <f>SUM(G13:G23)</f>
        <v>4058</v>
      </c>
      <c r="H24" s="158"/>
      <c r="I24" s="158">
        <f>SUM(I13:I23)</f>
        <v>0</v>
      </c>
      <c r="J24" s="158"/>
      <c r="K24" s="158">
        <f>SUM(K13:K23)</f>
        <v>4058</v>
      </c>
      <c r="L24" s="157"/>
      <c r="M24" s="157"/>
      <c r="N24" s="158">
        <f>SUM(N13:N23)</f>
        <v>3390</v>
      </c>
      <c r="O24" s="158"/>
      <c r="P24" s="158">
        <f>SUM(P13:P23)</f>
        <v>4550</v>
      </c>
      <c r="Q24" s="158"/>
      <c r="R24" s="158">
        <f>SUM(R13:R23)</f>
        <v>8259</v>
      </c>
      <c r="S24" s="159">
        <f>SUM(S13:S23)</f>
        <v>4201</v>
      </c>
    </row>
    <row r="25" spans="1:19" ht="10.5" customHeight="1" x14ac:dyDescent="0.25">
      <c r="B25" s="160"/>
      <c r="C25" s="160"/>
      <c r="D25" s="160"/>
      <c r="E25" s="161"/>
      <c r="F25" s="162"/>
      <c r="G25" s="162"/>
      <c r="H25" s="162"/>
      <c r="I25" s="162"/>
      <c r="J25" s="162"/>
      <c r="K25" s="162"/>
      <c r="L25" s="161"/>
      <c r="M25" s="162"/>
      <c r="N25" s="162"/>
      <c r="O25" s="162"/>
      <c r="P25" s="162"/>
      <c r="Q25" s="162"/>
      <c r="R25" s="162"/>
    </row>
  </sheetData>
  <mergeCells count="15">
    <mergeCell ref="H10:I10"/>
    <mergeCell ref="C9:D9"/>
    <mergeCell ref="L9:R9"/>
    <mergeCell ref="O10:P10"/>
    <mergeCell ref="U2:W2"/>
    <mergeCell ref="S2:T2"/>
    <mergeCell ref="B3:E3"/>
    <mergeCell ref="R8:S8"/>
    <mergeCell ref="U1:W1"/>
    <mergeCell ref="S1:T1"/>
    <mergeCell ref="P2:R2"/>
    <mergeCell ref="E9:K9"/>
    <mergeCell ref="B4:K4"/>
    <mergeCell ref="B6:K6"/>
    <mergeCell ref="F3:J3"/>
  </mergeCells>
  <phoneticPr fontId="2" type="noConversion"/>
  <pageMargins left="0.33" right="0.24" top="0.28999999999999998" bottom="0.25" header="0.22" footer="0.17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B12" sqref="B12"/>
    </sheetView>
  </sheetViews>
  <sheetFormatPr defaultRowHeight="13.5" x14ac:dyDescent="0.25"/>
  <cols>
    <col min="1" max="1" width="4.85546875" style="5" customWidth="1"/>
    <col min="2" max="2" width="32.7109375" style="5" customWidth="1"/>
    <col min="3" max="3" width="10.140625" style="5" customWidth="1"/>
    <col min="4" max="4" width="11.42578125" style="5" customWidth="1"/>
    <col min="5" max="5" width="9.140625" style="5"/>
    <col min="6" max="6" width="12.5703125" style="5" customWidth="1"/>
    <col min="7" max="7" width="24.5703125" style="5" customWidth="1"/>
    <col min="8" max="8" width="8.7109375" style="5" customWidth="1"/>
    <col min="9" max="9" width="9.140625" style="5"/>
    <col min="10" max="10" width="11" style="5" customWidth="1"/>
    <col min="11" max="11" width="8.7109375" style="5" customWidth="1"/>
    <col min="12" max="12" width="9.140625" style="5"/>
    <col min="13" max="13" width="11" style="5" customWidth="1"/>
    <col min="14" max="16384" width="9.140625" style="5"/>
  </cols>
  <sheetData>
    <row r="1" spans="1:16" x14ac:dyDescent="0.25">
      <c r="A1" s="347"/>
      <c r="B1" s="339"/>
      <c r="C1" s="339"/>
      <c r="D1" s="348"/>
      <c r="E1" s="339"/>
      <c r="F1" s="349"/>
      <c r="G1" s="349"/>
      <c r="H1" s="31"/>
      <c r="I1" s="124" t="s">
        <v>121</v>
      </c>
      <c r="J1" s="3"/>
      <c r="K1" s="124"/>
      <c r="L1" s="124"/>
      <c r="M1" s="31"/>
      <c r="N1" s="4"/>
      <c r="O1" s="4"/>
      <c r="P1" s="4"/>
    </row>
    <row r="2" spans="1:16" ht="12.75" customHeight="1" x14ac:dyDescent="0.25">
      <c r="A2" s="347"/>
      <c r="B2" s="339"/>
      <c r="C2" s="339"/>
      <c r="D2" s="348"/>
      <c r="E2" s="339"/>
      <c r="F2" s="349"/>
      <c r="G2" s="349"/>
      <c r="H2" s="568" t="s">
        <v>11</v>
      </c>
      <c r="I2" s="568"/>
      <c r="J2" s="568"/>
      <c r="K2" s="124"/>
      <c r="L2" s="124"/>
      <c r="M2" s="124"/>
      <c r="N2" s="4"/>
      <c r="O2" s="4"/>
      <c r="P2" s="4"/>
    </row>
    <row r="3" spans="1:16" ht="18" thickBot="1" x14ac:dyDescent="0.35">
      <c r="A3" s="31"/>
      <c r="B3" s="577" t="s">
        <v>380</v>
      </c>
      <c r="C3" s="577"/>
      <c r="D3" s="577"/>
      <c r="E3" s="281"/>
      <c r="F3" s="350"/>
      <c r="G3" s="351"/>
      <c r="H3" s="32"/>
      <c r="I3" s="32"/>
      <c r="J3" s="32"/>
      <c r="K3" s="32"/>
      <c r="L3" s="32"/>
      <c r="M3" s="32"/>
    </row>
    <row r="4" spans="1:16" s="168" customFormat="1" ht="17.25" customHeight="1" x14ac:dyDescent="0.25">
      <c r="A4" s="31"/>
      <c r="B4" s="352" t="s">
        <v>12</v>
      </c>
      <c r="C4" s="352"/>
      <c r="D4" s="352"/>
      <c r="E4" s="353"/>
      <c r="F4" s="353"/>
      <c r="G4" s="43"/>
      <c r="H4" s="167"/>
      <c r="I4" s="167"/>
      <c r="J4" s="167"/>
      <c r="K4" s="167"/>
      <c r="L4" s="167"/>
      <c r="M4" s="167"/>
    </row>
    <row r="5" spans="1:16" s="170" customFormat="1" ht="26.25" customHeight="1" x14ac:dyDescent="0.25">
      <c r="A5" s="130" t="s">
        <v>122</v>
      </c>
      <c r="B5" s="130"/>
      <c r="C5" s="130"/>
      <c r="D5" s="130"/>
      <c r="E5" s="130"/>
      <c r="F5" s="130"/>
      <c r="G5" s="130"/>
      <c r="H5" s="356"/>
      <c r="I5" s="356"/>
      <c r="J5" s="356"/>
      <c r="K5" s="356"/>
      <c r="L5" s="356"/>
      <c r="M5" s="356"/>
    </row>
    <row r="6" spans="1:16" s="170" customFormat="1" ht="14.25" x14ac:dyDescent="0.25">
      <c r="A6" s="130" t="s">
        <v>212</v>
      </c>
      <c r="B6" s="130"/>
      <c r="C6" s="130"/>
      <c r="D6" s="130"/>
      <c r="E6" s="130"/>
      <c r="F6" s="130"/>
      <c r="G6" s="130"/>
      <c r="H6" s="356"/>
      <c r="I6" s="356"/>
      <c r="J6" s="356"/>
      <c r="K6" s="356"/>
      <c r="L6" s="356"/>
      <c r="M6" s="356"/>
    </row>
    <row r="7" spans="1:16" s="32" customFormat="1" ht="21" customHeight="1" x14ac:dyDescent="0.25">
      <c r="A7" s="130"/>
      <c r="B7" s="130" t="s">
        <v>394</v>
      </c>
      <c r="C7" s="130"/>
      <c r="D7" s="130"/>
      <c r="E7" s="130"/>
      <c r="F7" s="130"/>
      <c r="G7" s="130"/>
      <c r="H7" s="356"/>
      <c r="I7" s="356"/>
      <c r="J7" s="356"/>
      <c r="K7" s="356"/>
      <c r="L7" s="356"/>
      <c r="M7" s="356"/>
    </row>
    <row r="8" spans="1:16" s="32" customFormat="1" ht="26.25" customHeight="1" thickBot="1" x14ac:dyDescent="0.3">
      <c r="A8" s="130"/>
      <c r="B8" s="357" t="s">
        <v>258</v>
      </c>
      <c r="C8" s="130"/>
      <c r="D8" s="130"/>
      <c r="E8" s="130"/>
      <c r="F8" s="130"/>
      <c r="G8" s="130"/>
      <c r="H8" s="356"/>
      <c r="I8" s="356"/>
      <c r="J8" s="356"/>
      <c r="K8" s="356"/>
      <c r="L8" s="356"/>
      <c r="M8" s="356"/>
    </row>
    <row r="9" spans="1:16" s="104" customFormat="1" ht="27" customHeight="1" thickBot="1" x14ac:dyDescent="0.3">
      <c r="A9" s="174"/>
      <c r="B9" s="175"/>
      <c r="C9" s="372" t="s">
        <v>259</v>
      </c>
      <c r="D9" s="354"/>
      <c r="E9" s="354"/>
      <c r="F9" s="354"/>
      <c r="G9" s="355"/>
      <c r="H9" s="588" t="s">
        <v>293</v>
      </c>
      <c r="I9" s="589"/>
      <c r="J9" s="590"/>
      <c r="K9" s="588" t="s">
        <v>239</v>
      </c>
      <c r="L9" s="589"/>
      <c r="M9" s="590"/>
    </row>
    <row r="10" spans="1:16" s="180" customFormat="1" ht="68.25" thickBot="1" x14ac:dyDescent="0.3">
      <c r="A10" s="176" t="s">
        <v>97</v>
      </c>
      <c r="B10" s="176" t="s">
        <v>136</v>
      </c>
      <c r="C10" s="177" t="s">
        <v>137</v>
      </c>
      <c r="D10" s="178" t="s">
        <v>138</v>
      </c>
      <c r="E10" s="178" t="s">
        <v>232</v>
      </c>
      <c r="F10" s="178" t="s">
        <v>141</v>
      </c>
      <c r="G10" s="178" t="s">
        <v>196</v>
      </c>
      <c r="H10" s="178" t="s">
        <v>142</v>
      </c>
      <c r="I10" s="178" t="s">
        <v>143</v>
      </c>
      <c r="J10" s="179" t="s">
        <v>144</v>
      </c>
      <c r="K10" s="178" t="s">
        <v>142</v>
      </c>
      <c r="L10" s="178" t="s">
        <v>143</v>
      </c>
      <c r="M10" s="179" t="s">
        <v>144</v>
      </c>
    </row>
    <row r="11" spans="1:16" s="182" customFormat="1" x14ac:dyDescent="0.25">
      <c r="A11" s="181">
        <v>1</v>
      </c>
      <c r="B11" s="181">
        <v>2</v>
      </c>
      <c r="C11" s="181">
        <v>3</v>
      </c>
      <c r="D11" s="181">
        <v>4</v>
      </c>
      <c r="E11" s="181">
        <v>5</v>
      </c>
      <c r="F11" s="181">
        <v>6</v>
      </c>
      <c r="G11" s="181">
        <v>7</v>
      </c>
      <c r="H11" s="181">
        <v>8</v>
      </c>
      <c r="I11" s="181">
        <v>9</v>
      </c>
      <c r="J11" s="181">
        <v>10</v>
      </c>
      <c r="K11" s="181">
        <v>11</v>
      </c>
      <c r="L11" s="181">
        <v>12</v>
      </c>
      <c r="M11" s="181">
        <v>13</v>
      </c>
    </row>
    <row r="12" spans="1:16" ht="29.25" x14ac:dyDescent="0.3">
      <c r="A12" s="128"/>
      <c r="B12" s="183" t="s">
        <v>1153</v>
      </c>
      <c r="C12" s="129" t="s">
        <v>1</v>
      </c>
      <c r="D12" s="129" t="s">
        <v>1</v>
      </c>
      <c r="E12" s="358">
        <v>2020</v>
      </c>
      <c r="F12" s="396"/>
      <c r="G12" s="129" t="s">
        <v>1</v>
      </c>
      <c r="H12" s="129" t="s">
        <v>1</v>
      </c>
      <c r="I12" s="129" t="s">
        <v>1</v>
      </c>
      <c r="J12" s="129" t="s">
        <v>1</v>
      </c>
      <c r="K12" s="129" t="s">
        <v>1</v>
      </c>
      <c r="L12" s="129" t="s">
        <v>1</v>
      </c>
      <c r="M12" s="129" t="s">
        <v>1</v>
      </c>
    </row>
    <row r="13" spans="1:16" ht="13.7" customHeight="1" x14ac:dyDescent="0.25">
      <c r="A13" s="128"/>
      <c r="B13" s="184" t="s">
        <v>145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6" x14ac:dyDescent="0.25">
      <c r="A14" s="72">
        <v>1</v>
      </c>
      <c r="B14" s="106" t="s">
        <v>386</v>
      </c>
      <c r="C14" s="204">
        <v>2004</v>
      </c>
      <c r="D14" s="106">
        <v>13000</v>
      </c>
      <c r="E14" s="106">
        <v>60</v>
      </c>
      <c r="F14" s="76">
        <f t="shared" ref="F14:F19" si="0">IF(E14=100,0,D14-D14*E14%)</f>
        <v>5200</v>
      </c>
      <c r="G14" s="106" t="s">
        <v>390</v>
      </c>
      <c r="H14" s="106"/>
      <c r="I14" s="106"/>
      <c r="J14" s="76">
        <f>H14*I14</f>
        <v>0</v>
      </c>
      <c r="K14" s="106"/>
      <c r="L14" s="106"/>
      <c r="M14" s="76">
        <f>K14*L14</f>
        <v>0</v>
      </c>
    </row>
    <row r="15" spans="1:16" x14ac:dyDescent="0.25">
      <c r="A15" s="72">
        <v>2</v>
      </c>
      <c r="B15" s="106" t="s">
        <v>386</v>
      </c>
      <c r="C15" s="204">
        <v>2009</v>
      </c>
      <c r="D15" s="106">
        <v>12000</v>
      </c>
      <c r="E15" s="106">
        <f>IF(($E$12-C15)*12&gt;100,100,($E$12-C15)*12)</f>
        <v>100</v>
      </c>
      <c r="F15" s="76">
        <f t="shared" si="0"/>
        <v>0</v>
      </c>
      <c r="G15" s="106" t="s">
        <v>988</v>
      </c>
      <c r="H15" s="106"/>
      <c r="I15" s="106"/>
      <c r="J15" s="76">
        <f t="shared" ref="J15:J20" si="1">H15*I15</f>
        <v>0</v>
      </c>
      <c r="K15" s="106"/>
      <c r="L15" s="106"/>
      <c r="M15" s="76">
        <f t="shared" ref="M15:M20" si="2">K15*L15</f>
        <v>0</v>
      </c>
    </row>
    <row r="16" spans="1:16" x14ac:dyDescent="0.25">
      <c r="A16" s="72">
        <v>3</v>
      </c>
      <c r="B16" s="106" t="s">
        <v>387</v>
      </c>
      <c r="C16" s="204">
        <v>2007</v>
      </c>
      <c r="D16" s="106">
        <v>6350</v>
      </c>
      <c r="E16" s="106">
        <f>IF(($E$12-C16)*12&gt;100,100,($E$12-C16)*12)</f>
        <v>100</v>
      </c>
      <c r="F16" s="76">
        <f t="shared" si="0"/>
        <v>0</v>
      </c>
      <c r="G16" s="106" t="s">
        <v>391</v>
      </c>
      <c r="H16" s="106"/>
      <c r="I16" s="106"/>
      <c r="J16" s="76">
        <f t="shared" si="1"/>
        <v>0</v>
      </c>
      <c r="K16" s="106"/>
      <c r="L16" s="106"/>
      <c r="M16" s="76">
        <f t="shared" si="2"/>
        <v>0</v>
      </c>
    </row>
    <row r="17" spans="1:13" x14ac:dyDescent="0.25">
      <c r="A17" s="128">
        <v>4</v>
      </c>
      <c r="B17" s="106" t="s">
        <v>387</v>
      </c>
      <c r="C17" s="204">
        <v>2007</v>
      </c>
      <c r="D17" s="106">
        <v>6350</v>
      </c>
      <c r="E17" s="106">
        <f>IF(($E$12-C17)*12&gt;100,100,($E$12-C17)*12)</f>
        <v>100</v>
      </c>
      <c r="F17" s="76">
        <f t="shared" si="0"/>
        <v>0</v>
      </c>
      <c r="G17" s="106" t="s">
        <v>391</v>
      </c>
      <c r="H17" s="106"/>
      <c r="I17" s="106"/>
      <c r="J17" s="76">
        <f t="shared" si="1"/>
        <v>0</v>
      </c>
      <c r="K17" s="106"/>
      <c r="L17" s="106"/>
      <c r="M17" s="76">
        <f t="shared" si="2"/>
        <v>0</v>
      </c>
    </row>
    <row r="18" spans="1:13" x14ac:dyDescent="0.25">
      <c r="A18" s="128">
        <v>5</v>
      </c>
      <c r="B18" s="5" t="s">
        <v>388</v>
      </c>
      <c r="C18" s="204">
        <v>2010</v>
      </c>
      <c r="D18" s="106">
        <v>9980</v>
      </c>
      <c r="E18" s="106">
        <f>IF(($E$12-C18)*12&gt;100,100,($E$12-C18)*12)</f>
        <v>100</v>
      </c>
      <c r="F18" s="76">
        <f t="shared" si="0"/>
        <v>0</v>
      </c>
      <c r="G18" s="106" t="s">
        <v>391</v>
      </c>
      <c r="H18" s="106"/>
      <c r="I18" s="106"/>
      <c r="J18" s="76">
        <f t="shared" si="1"/>
        <v>0</v>
      </c>
      <c r="K18" s="106"/>
      <c r="L18" s="106"/>
      <c r="M18" s="76">
        <f t="shared" si="2"/>
        <v>0</v>
      </c>
    </row>
    <row r="19" spans="1:13" x14ac:dyDescent="0.25">
      <c r="A19" s="128">
        <v>6</v>
      </c>
      <c r="B19" s="106" t="s">
        <v>389</v>
      </c>
      <c r="C19" s="204">
        <v>2004</v>
      </c>
      <c r="D19" s="106">
        <v>2497.5</v>
      </c>
      <c r="E19" s="106">
        <f>IF(($E$12-C19)*12&gt;100,100,($E$12-C19)*12)</f>
        <v>100</v>
      </c>
      <c r="F19" s="76">
        <f t="shared" si="0"/>
        <v>0</v>
      </c>
      <c r="G19" s="106" t="s">
        <v>393</v>
      </c>
      <c r="H19" s="106"/>
      <c r="I19" s="106"/>
      <c r="J19" s="76">
        <f t="shared" si="1"/>
        <v>0</v>
      </c>
      <c r="K19" s="106"/>
      <c r="L19" s="106"/>
      <c r="M19" s="76">
        <f t="shared" si="2"/>
        <v>0</v>
      </c>
    </row>
    <row r="20" spans="1:13" x14ac:dyDescent="0.25">
      <c r="A20" s="128">
        <v>7</v>
      </c>
      <c r="B20" s="106"/>
      <c r="C20" s="106"/>
      <c r="D20" s="106"/>
      <c r="E20" s="106"/>
      <c r="F20" s="76"/>
      <c r="G20" s="106"/>
      <c r="H20" s="106"/>
      <c r="I20" s="106"/>
      <c r="J20" s="76">
        <f t="shared" si="1"/>
        <v>0</v>
      </c>
      <c r="K20" s="106"/>
      <c r="L20" s="106"/>
      <c r="M20" s="76">
        <f t="shared" si="2"/>
        <v>0</v>
      </c>
    </row>
  </sheetData>
  <mergeCells count="4">
    <mergeCell ref="H9:J9"/>
    <mergeCell ref="K9:M9"/>
    <mergeCell ref="H2:J2"/>
    <mergeCell ref="B3:D3"/>
  </mergeCells>
  <phoneticPr fontId="2" type="noConversion"/>
  <pageMargins left="0.41" right="0.18" top="0.48" bottom="0.27" header="0.17" footer="0.19"/>
  <pageSetup paperSize="9" scale="85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B25" workbookViewId="0">
      <selection activeCell="N35" sqref="N35:N50"/>
    </sheetView>
  </sheetViews>
  <sheetFormatPr defaultRowHeight="13.5" x14ac:dyDescent="0.25"/>
  <cols>
    <col min="1" max="1" width="4.85546875" style="5" customWidth="1"/>
    <col min="2" max="2" width="31.28515625" style="5" customWidth="1"/>
    <col min="3" max="3" width="9.28515625" style="5" customWidth="1"/>
    <col min="4" max="4" width="8.5703125" style="5" bestFit="1" customWidth="1"/>
    <col min="5" max="5" width="11.140625" style="5" customWidth="1"/>
    <col min="6" max="6" width="12.42578125" style="5" bestFit="1" customWidth="1"/>
    <col min="7" max="7" width="12.140625" style="5" customWidth="1"/>
    <col min="8" max="8" width="11.140625" style="5" customWidth="1"/>
    <col min="9" max="9" width="11.5703125" style="5" customWidth="1"/>
    <col min="10" max="10" width="9.5703125" style="5" customWidth="1"/>
    <col min="11" max="11" width="11.85546875" style="5" customWidth="1"/>
    <col min="12" max="12" width="11" style="5" customWidth="1"/>
    <col min="13" max="13" width="9.5703125" style="5" customWidth="1"/>
    <col min="14" max="14" width="11.85546875" style="5" customWidth="1"/>
    <col min="15" max="15" width="11" style="5" customWidth="1"/>
    <col min="16" max="16384" width="9.140625" style="5"/>
  </cols>
  <sheetData>
    <row r="1" spans="1:15" s="32" customFormat="1" x14ac:dyDescent="0.25">
      <c r="A1" s="283"/>
      <c r="B1" s="3"/>
      <c r="C1" s="3"/>
      <c r="D1" s="111"/>
      <c r="E1" s="111"/>
      <c r="F1" s="3"/>
      <c r="G1" s="3"/>
      <c r="H1" s="31"/>
      <c r="I1" s="124" t="s">
        <v>135</v>
      </c>
      <c r="J1" s="3"/>
      <c r="K1" s="31"/>
      <c r="L1" s="31"/>
      <c r="M1" s="31"/>
      <c r="N1" s="31"/>
      <c r="O1" s="31"/>
    </row>
    <row r="2" spans="1:15" s="32" customFormat="1" ht="12.75" customHeight="1" x14ac:dyDescent="0.25">
      <c r="A2" s="283"/>
      <c r="B2" s="3"/>
      <c r="C2" s="3"/>
      <c r="D2" s="111"/>
      <c r="E2" s="111"/>
      <c r="F2" s="3"/>
      <c r="G2" s="3"/>
      <c r="H2" s="568" t="s">
        <v>11</v>
      </c>
      <c r="I2" s="568"/>
      <c r="J2" s="568"/>
      <c r="K2" s="31"/>
      <c r="L2" s="31"/>
      <c r="M2" s="31"/>
      <c r="N2" s="31"/>
      <c r="O2" s="31"/>
    </row>
    <row r="3" spans="1:15" s="32" customFormat="1" ht="18" thickBot="1" x14ac:dyDescent="0.35">
      <c r="A3" s="31"/>
      <c r="B3" s="470" t="s">
        <v>380</v>
      </c>
      <c r="C3" s="164"/>
      <c r="D3" s="164"/>
      <c r="E3" s="164"/>
      <c r="F3" s="9"/>
      <c r="G3" s="165"/>
    </row>
    <row r="4" spans="1:15" s="168" customFormat="1" ht="17.25" customHeight="1" x14ac:dyDescent="0.25">
      <c r="A4" s="31"/>
      <c r="B4" s="558" t="s">
        <v>12</v>
      </c>
      <c r="C4" s="558"/>
      <c r="D4" s="558"/>
      <c r="E4" s="558"/>
      <c r="F4" s="167"/>
      <c r="G4" s="167"/>
      <c r="H4" s="43"/>
      <c r="I4" s="167"/>
      <c r="J4" s="167"/>
      <c r="K4" s="167"/>
      <c r="L4" s="167"/>
      <c r="M4" s="167"/>
      <c r="N4" s="167"/>
    </row>
    <row r="5" spans="1:15" s="171" customFormat="1" ht="25.5" customHeight="1" x14ac:dyDescent="0.25">
      <c r="A5" s="593" t="s">
        <v>122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167"/>
      <c r="O5" s="167"/>
    </row>
    <row r="6" spans="1:15" s="104" customFormat="1" x14ac:dyDescent="0.25">
      <c r="B6" s="10"/>
      <c r="C6" s="10"/>
      <c r="D6" s="169"/>
      <c r="E6" s="169"/>
      <c r="F6" s="169"/>
      <c r="G6" s="169"/>
      <c r="H6" s="169"/>
      <c r="I6" s="169"/>
      <c r="J6" s="169"/>
      <c r="K6" s="169"/>
      <c r="L6" s="167"/>
      <c r="M6" s="169"/>
      <c r="N6" s="169"/>
      <c r="O6" s="167"/>
    </row>
    <row r="7" spans="1:15" s="171" customFormat="1" ht="14.25" x14ac:dyDescent="0.25">
      <c r="A7" s="593" t="s">
        <v>213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167"/>
      <c r="O7" s="167"/>
    </row>
    <row r="8" spans="1:15" s="171" customFormat="1" ht="14.25" x14ac:dyDescent="0.25">
      <c r="B8" s="40"/>
      <c r="C8" s="40"/>
      <c r="D8" s="172"/>
      <c r="E8" s="172"/>
      <c r="F8" s="172"/>
      <c r="G8" s="172"/>
      <c r="H8" s="172"/>
      <c r="I8" s="172"/>
      <c r="J8" s="172"/>
      <c r="K8" s="172"/>
      <c r="M8" s="172"/>
      <c r="N8" s="172"/>
    </row>
    <row r="9" spans="1:15" s="171" customFormat="1" ht="15" thickBot="1" x14ac:dyDescent="0.3">
      <c r="A9" s="173"/>
      <c r="B9" s="40"/>
      <c r="C9" s="40"/>
      <c r="D9" s="172"/>
      <c r="E9" s="172"/>
      <c r="F9" s="172"/>
      <c r="G9" s="172"/>
      <c r="H9" s="172"/>
      <c r="I9" s="172"/>
      <c r="J9" s="172"/>
      <c r="K9" s="172"/>
      <c r="M9" s="172"/>
      <c r="N9" s="172"/>
    </row>
    <row r="10" spans="1:15" s="104" customFormat="1" ht="33.75" customHeight="1" thickBot="1" x14ac:dyDescent="0.3">
      <c r="A10" s="185"/>
      <c r="B10" s="186"/>
      <c r="C10" s="187"/>
      <c r="D10" s="591" t="s">
        <v>294</v>
      </c>
      <c r="E10" s="591"/>
      <c r="F10" s="591"/>
      <c r="G10" s="591"/>
      <c r="H10" s="591"/>
      <c r="I10" s="592"/>
      <c r="J10" s="588" t="s">
        <v>293</v>
      </c>
      <c r="K10" s="589"/>
      <c r="L10" s="590"/>
      <c r="M10" s="588" t="s">
        <v>239</v>
      </c>
      <c r="N10" s="589"/>
      <c r="O10" s="590"/>
    </row>
    <row r="11" spans="1:15" s="193" customFormat="1" ht="82.5" customHeight="1" x14ac:dyDescent="0.2">
      <c r="A11" s="188" t="s">
        <v>97</v>
      </c>
      <c r="B11" s="189" t="s">
        <v>146</v>
      </c>
      <c r="C11" s="190" t="s">
        <v>147</v>
      </c>
      <c r="D11" s="191" t="s">
        <v>142</v>
      </c>
      <c r="E11" s="192" t="s">
        <v>148</v>
      </c>
      <c r="F11" s="192" t="s">
        <v>149</v>
      </c>
      <c r="G11" s="192" t="s">
        <v>139</v>
      </c>
      <c r="H11" s="192" t="s">
        <v>140</v>
      </c>
      <c r="I11" s="192" t="s">
        <v>141</v>
      </c>
      <c r="J11" s="192" t="s">
        <v>142</v>
      </c>
      <c r="K11" s="192" t="s">
        <v>143</v>
      </c>
      <c r="L11" s="192" t="s">
        <v>144</v>
      </c>
      <c r="M11" s="192" t="s">
        <v>142</v>
      </c>
      <c r="N11" s="192" t="s">
        <v>143</v>
      </c>
      <c r="O11" s="192" t="s">
        <v>144</v>
      </c>
    </row>
    <row r="12" spans="1:15" s="194" customFormat="1" x14ac:dyDescent="0.25">
      <c r="A12" s="128">
        <v>1</v>
      </c>
      <c r="B12" s="128">
        <v>2</v>
      </c>
      <c r="C12" s="128">
        <v>3</v>
      </c>
      <c r="D12" s="128">
        <v>4</v>
      </c>
      <c r="E12" s="128">
        <v>5</v>
      </c>
      <c r="F12" s="128">
        <v>6</v>
      </c>
      <c r="G12" s="128">
        <v>7</v>
      </c>
      <c r="H12" s="128">
        <v>8</v>
      </c>
      <c r="I12" s="128">
        <v>9</v>
      </c>
      <c r="J12" s="128">
        <v>10</v>
      </c>
      <c r="K12" s="128">
        <v>11</v>
      </c>
      <c r="L12" s="128">
        <v>12</v>
      </c>
      <c r="M12" s="128">
        <v>13</v>
      </c>
      <c r="N12" s="128">
        <v>14</v>
      </c>
      <c r="O12" s="128">
        <v>15</v>
      </c>
    </row>
    <row r="13" spans="1:15" ht="57" x14ac:dyDescent="0.25">
      <c r="A13" s="128"/>
      <c r="B13" s="195" t="s">
        <v>150</v>
      </c>
      <c r="C13" s="129"/>
      <c r="D13" s="129"/>
      <c r="E13" s="129"/>
      <c r="F13" s="129"/>
      <c r="G13" s="129"/>
      <c r="H13" s="129"/>
      <c r="I13" s="106"/>
      <c r="J13" s="106"/>
      <c r="K13" s="106"/>
      <c r="L13" s="106"/>
      <c r="M13" s="106"/>
      <c r="N13" s="106"/>
      <c r="O13" s="106"/>
    </row>
    <row r="14" spans="1:15" ht="13.5" customHeight="1" x14ac:dyDescent="0.25">
      <c r="A14" s="128"/>
      <c r="B14" s="184" t="s">
        <v>145</v>
      </c>
      <c r="C14" s="184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5" ht="13.5" customHeight="1" x14ac:dyDescent="0.25">
      <c r="A15" s="475">
        <v>1</v>
      </c>
      <c r="B15" s="476" t="s">
        <v>395</v>
      </c>
      <c r="C15" s="477" t="s">
        <v>396</v>
      </c>
      <c r="D15" s="106">
        <v>1</v>
      </c>
      <c r="E15" s="106">
        <v>2005</v>
      </c>
      <c r="F15" s="106">
        <v>1067.2</v>
      </c>
      <c r="G15" s="106">
        <v>1067.2</v>
      </c>
      <c r="H15" s="106">
        <v>100</v>
      </c>
      <c r="I15" s="106">
        <v>0</v>
      </c>
      <c r="J15" s="106"/>
      <c r="K15" s="106"/>
      <c r="L15" s="106"/>
      <c r="M15" s="106"/>
      <c r="N15" s="106"/>
      <c r="O15" s="106"/>
    </row>
    <row r="16" spans="1:15" ht="13.5" customHeight="1" x14ac:dyDescent="0.25">
      <c r="A16" s="475">
        <v>2</v>
      </c>
      <c r="B16" s="476" t="s">
        <v>397</v>
      </c>
      <c r="C16" s="477" t="s">
        <v>396</v>
      </c>
      <c r="D16" s="106">
        <v>1</v>
      </c>
      <c r="E16" s="106">
        <v>2007</v>
      </c>
      <c r="F16" s="106">
        <v>955</v>
      </c>
      <c r="G16" s="106">
        <v>955</v>
      </c>
      <c r="H16" s="106">
        <v>100</v>
      </c>
      <c r="I16" s="106">
        <v>0</v>
      </c>
      <c r="J16" s="106"/>
      <c r="K16" s="106"/>
      <c r="L16" s="106"/>
      <c r="M16" s="106"/>
      <c r="N16" s="106"/>
      <c r="O16" s="106"/>
    </row>
    <row r="17" spans="1:15" ht="13.5" customHeight="1" x14ac:dyDescent="0.25">
      <c r="A17" s="475">
        <v>3</v>
      </c>
      <c r="B17" s="476" t="s">
        <v>398</v>
      </c>
      <c r="C17" s="477" t="s">
        <v>399</v>
      </c>
      <c r="D17" s="106">
        <v>21</v>
      </c>
      <c r="E17" s="106">
        <v>2005</v>
      </c>
      <c r="F17" s="106">
        <v>9472.2000000000007</v>
      </c>
      <c r="G17" s="106">
        <v>9472.2000000000007</v>
      </c>
      <c r="H17" s="106">
        <v>100</v>
      </c>
      <c r="I17" s="106">
        <v>0</v>
      </c>
      <c r="J17" s="106"/>
      <c r="K17" s="106"/>
      <c r="L17" s="106"/>
      <c r="M17" s="106"/>
      <c r="N17" s="106"/>
      <c r="O17" s="106"/>
    </row>
    <row r="18" spans="1:15" ht="13.5" customHeight="1" x14ac:dyDescent="0.25">
      <c r="A18" s="475">
        <v>4</v>
      </c>
      <c r="B18" s="476" t="s">
        <v>400</v>
      </c>
      <c r="C18" s="477" t="s">
        <v>396</v>
      </c>
      <c r="D18" s="106">
        <v>10</v>
      </c>
      <c r="E18" s="106">
        <v>2005</v>
      </c>
      <c r="F18" s="106">
        <v>654.5</v>
      </c>
      <c r="G18" s="106">
        <v>654.5</v>
      </c>
      <c r="H18" s="106">
        <v>100</v>
      </c>
      <c r="I18" s="106">
        <v>0</v>
      </c>
      <c r="J18" s="106"/>
      <c r="K18" s="106"/>
      <c r="L18" s="106"/>
      <c r="M18" s="106"/>
      <c r="N18" s="106"/>
      <c r="O18" s="106"/>
    </row>
    <row r="19" spans="1:15" ht="13.5" customHeight="1" x14ac:dyDescent="0.25">
      <c r="A19" s="475">
        <v>5</v>
      </c>
      <c r="B19" s="476" t="s">
        <v>401</v>
      </c>
      <c r="C19" s="477" t="s">
        <v>399</v>
      </c>
      <c r="D19" s="106">
        <v>8</v>
      </c>
      <c r="E19" s="106">
        <v>2007</v>
      </c>
      <c r="F19" s="106">
        <v>3091.7</v>
      </c>
      <c r="G19" s="106">
        <v>2318.8000000000002</v>
      </c>
      <c r="H19" s="106">
        <v>100</v>
      </c>
      <c r="I19" s="106">
        <v>0</v>
      </c>
      <c r="J19" s="106"/>
      <c r="K19" s="106"/>
      <c r="L19" s="106"/>
      <c r="M19" s="106"/>
      <c r="N19" s="106"/>
      <c r="O19" s="106"/>
    </row>
    <row r="20" spans="1:15" ht="13.5" customHeight="1" x14ac:dyDescent="0.25">
      <c r="A20" s="475">
        <v>6</v>
      </c>
      <c r="B20" s="476" t="s">
        <v>400</v>
      </c>
      <c r="C20" s="477" t="s">
        <v>396</v>
      </c>
      <c r="D20" s="106">
        <v>8</v>
      </c>
      <c r="E20" s="106">
        <v>2007</v>
      </c>
      <c r="F20" s="106">
        <v>209</v>
      </c>
      <c r="G20" s="106">
        <v>156.80000000000001</v>
      </c>
      <c r="H20" s="106">
        <v>100</v>
      </c>
      <c r="I20" s="106">
        <v>0</v>
      </c>
      <c r="J20" s="106"/>
      <c r="K20" s="106"/>
      <c r="L20" s="106"/>
      <c r="M20" s="106"/>
      <c r="N20" s="106"/>
      <c r="O20" s="106"/>
    </row>
    <row r="21" spans="1:15" ht="13.5" customHeight="1" x14ac:dyDescent="0.25">
      <c r="A21" s="475">
        <v>7</v>
      </c>
      <c r="B21" s="478" t="s">
        <v>402</v>
      </c>
      <c r="C21" s="477" t="s">
        <v>396</v>
      </c>
      <c r="D21" s="106">
        <v>4</v>
      </c>
      <c r="E21" s="106">
        <v>2007</v>
      </c>
      <c r="F21" s="106">
        <v>529</v>
      </c>
      <c r="G21" s="106">
        <v>396.8</v>
      </c>
      <c r="H21" s="106">
        <v>100</v>
      </c>
      <c r="I21" s="106">
        <v>0</v>
      </c>
      <c r="J21" s="106"/>
      <c r="K21" s="106"/>
      <c r="L21" s="106"/>
      <c r="M21" s="106"/>
      <c r="N21" s="106"/>
      <c r="O21" s="106"/>
    </row>
    <row r="22" spans="1:15" ht="13.5" customHeight="1" x14ac:dyDescent="0.25">
      <c r="A22" s="475">
        <v>8</v>
      </c>
      <c r="B22" s="478" t="s">
        <v>403</v>
      </c>
      <c r="C22" s="477" t="s">
        <v>396</v>
      </c>
      <c r="D22" s="106">
        <v>3</v>
      </c>
      <c r="E22" s="106">
        <v>2005</v>
      </c>
      <c r="F22" s="106">
        <v>301.10000000000002</v>
      </c>
      <c r="G22" s="106">
        <v>301.10000000000002</v>
      </c>
      <c r="H22" s="106">
        <v>100</v>
      </c>
      <c r="I22" s="106">
        <v>0</v>
      </c>
      <c r="J22" s="106"/>
      <c r="K22" s="106"/>
      <c r="L22" s="106"/>
      <c r="M22" s="106"/>
      <c r="N22" s="106"/>
      <c r="O22" s="106"/>
    </row>
    <row r="23" spans="1:15" ht="13.5" customHeight="1" x14ac:dyDescent="0.25">
      <c r="A23" s="475">
        <v>9</v>
      </c>
      <c r="B23" s="478" t="s">
        <v>404</v>
      </c>
      <c r="C23" s="477" t="s">
        <v>396</v>
      </c>
      <c r="D23" s="106">
        <v>1</v>
      </c>
      <c r="E23" s="106">
        <v>2004</v>
      </c>
      <c r="F23" s="106">
        <v>748</v>
      </c>
      <c r="G23" s="106">
        <v>748</v>
      </c>
      <c r="H23" s="106">
        <v>100</v>
      </c>
      <c r="I23" s="106">
        <v>0</v>
      </c>
      <c r="J23" s="106"/>
      <c r="K23" s="106"/>
      <c r="L23" s="106"/>
      <c r="M23" s="106"/>
      <c r="N23" s="106"/>
      <c r="O23" s="106"/>
    </row>
    <row r="24" spans="1:15" ht="13.5" customHeight="1" x14ac:dyDescent="0.25">
      <c r="A24" s="475">
        <v>10</v>
      </c>
      <c r="B24" s="478" t="s">
        <v>405</v>
      </c>
      <c r="C24" s="477" t="s">
        <v>396</v>
      </c>
      <c r="D24" s="106">
        <v>1</v>
      </c>
      <c r="E24" s="106">
        <v>2005</v>
      </c>
      <c r="F24" s="106">
        <v>50</v>
      </c>
      <c r="G24" s="106">
        <v>50</v>
      </c>
      <c r="H24" s="106">
        <v>100</v>
      </c>
      <c r="I24" s="106">
        <v>0</v>
      </c>
      <c r="J24" s="106"/>
      <c r="K24" s="106"/>
      <c r="L24" s="106"/>
      <c r="M24" s="106"/>
      <c r="N24" s="106"/>
      <c r="O24" s="106"/>
    </row>
    <row r="25" spans="1:15" ht="13.5" customHeight="1" x14ac:dyDescent="0.25">
      <c r="A25" s="475">
        <v>11</v>
      </c>
      <c r="B25" s="476" t="s">
        <v>401</v>
      </c>
      <c r="C25" s="476" t="s">
        <v>401</v>
      </c>
      <c r="D25" s="106">
        <v>10</v>
      </c>
      <c r="E25" s="106">
        <v>2008</v>
      </c>
      <c r="F25" s="106">
        <v>3972.7</v>
      </c>
      <c r="G25" s="106">
        <v>3972.7</v>
      </c>
      <c r="H25" s="106">
        <v>100</v>
      </c>
      <c r="I25" s="106">
        <f>F25-G25</f>
        <v>0</v>
      </c>
      <c r="J25" s="106"/>
      <c r="K25" s="106"/>
      <c r="L25" s="106"/>
      <c r="M25" s="106"/>
      <c r="N25" s="106"/>
      <c r="O25" s="106"/>
    </row>
    <row r="26" spans="1:15" ht="13.5" customHeight="1" x14ac:dyDescent="0.25">
      <c r="A26" s="475">
        <v>12</v>
      </c>
      <c r="B26" s="476" t="s">
        <v>406</v>
      </c>
      <c r="C26" s="476" t="s">
        <v>401</v>
      </c>
      <c r="D26" s="106">
        <v>9</v>
      </c>
      <c r="E26" s="106">
        <v>2010</v>
      </c>
      <c r="F26" s="106">
        <v>4214.5</v>
      </c>
      <c r="G26" s="106">
        <v>2950.2</v>
      </c>
      <c r="H26" s="106">
        <v>100</v>
      </c>
      <c r="I26" s="106">
        <v>0</v>
      </c>
      <c r="J26" s="106"/>
      <c r="K26" s="106"/>
      <c r="L26" s="106"/>
      <c r="M26" s="106"/>
      <c r="N26" s="106"/>
      <c r="O26" s="106"/>
    </row>
    <row r="27" spans="1:15" ht="13.5" customHeight="1" x14ac:dyDescent="0.25">
      <c r="A27" s="475">
        <v>13</v>
      </c>
      <c r="B27" s="476" t="s">
        <v>407</v>
      </c>
      <c r="C27" s="476" t="s">
        <v>401</v>
      </c>
      <c r="D27" s="106">
        <v>2</v>
      </c>
      <c r="E27" s="106">
        <v>2007</v>
      </c>
      <c r="F27" s="106">
        <v>598.9</v>
      </c>
      <c r="G27" s="106">
        <v>598.5</v>
      </c>
      <c r="H27" s="106">
        <v>100</v>
      </c>
      <c r="I27" s="106">
        <v>0</v>
      </c>
      <c r="J27" s="106"/>
      <c r="K27" s="106"/>
      <c r="L27" s="106"/>
      <c r="M27" s="106"/>
      <c r="N27" s="106"/>
      <c r="O27" s="106"/>
    </row>
    <row r="28" spans="1:15" ht="13.5" customHeight="1" x14ac:dyDescent="0.25">
      <c r="A28" s="475">
        <v>14</v>
      </c>
      <c r="B28" s="476" t="s">
        <v>401</v>
      </c>
      <c r="C28" s="476" t="s">
        <v>401</v>
      </c>
      <c r="D28" s="106">
        <v>3</v>
      </c>
      <c r="E28" s="106">
        <v>2010</v>
      </c>
      <c r="F28" s="106">
        <v>1658.6</v>
      </c>
      <c r="G28" s="106">
        <v>1078.0999999999999</v>
      </c>
      <c r="H28" s="106">
        <v>100</v>
      </c>
      <c r="I28" s="106">
        <v>0</v>
      </c>
      <c r="J28" s="106"/>
      <c r="K28" s="106"/>
      <c r="L28" s="106"/>
      <c r="M28" s="106"/>
      <c r="N28" s="106"/>
      <c r="O28" s="106"/>
    </row>
    <row r="29" spans="1:15" ht="13.5" customHeight="1" x14ac:dyDescent="0.25">
      <c r="A29" s="475">
        <v>15</v>
      </c>
      <c r="B29" s="479" t="s">
        <v>408</v>
      </c>
      <c r="C29" s="477" t="s">
        <v>396</v>
      </c>
      <c r="D29" s="106">
        <v>2</v>
      </c>
      <c r="E29" s="106">
        <v>2013</v>
      </c>
      <c r="F29" s="107">
        <v>240</v>
      </c>
      <c r="G29" s="106">
        <v>36</v>
      </c>
      <c r="H29" s="106">
        <v>15</v>
      </c>
      <c r="I29" s="106"/>
      <c r="J29" s="106"/>
      <c r="K29" s="106"/>
      <c r="L29" s="106"/>
      <c r="M29" s="106"/>
      <c r="N29" s="106"/>
      <c r="O29" s="106"/>
    </row>
    <row r="30" spans="1:15" ht="13.5" customHeight="1" x14ac:dyDescent="0.25">
      <c r="A30" s="475">
        <v>16</v>
      </c>
      <c r="B30" s="479" t="s">
        <v>409</v>
      </c>
      <c r="C30" s="477" t="s">
        <v>396</v>
      </c>
      <c r="D30" s="106">
        <v>2</v>
      </c>
      <c r="E30" s="106">
        <v>2013</v>
      </c>
      <c r="F30" s="106">
        <v>360</v>
      </c>
      <c r="G30" s="106">
        <v>54</v>
      </c>
      <c r="H30" s="106">
        <v>15</v>
      </c>
      <c r="I30" s="106"/>
      <c r="J30" s="106"/>
      <c r="K30" s="106"/>
      <c r="L30" s="106"/>
      <c r="M30" s="106"/>
      <c r="N30" s="106"/>
      <c r="O30" s="106"/>
    </row>
    <row r="31" spans="1:15" ht="13.5" customHeight="1" x14ac:dyDescent="0.25">
      <c r="A31" s="475">
        <v>17</v>
      </c>
      <c r="B31" s="479" t="s">
        <v>410</v>
      </c>
      <c r="C31" s="477" t="s">
        <v>399</v>
      </c>
      <c r="D31" s="106">
        <v>5</v>
      </c>
      <c r="E31" s="106">
        <v>2013</v>
      </c>
      <c r="F31" s="106">
        <v>900</v>
      </c>
      <c r="G31" s="106">
        <v>135</v>
      </c>
      <c r="H31" s="106">
        <v>15</v>
      </c>
      <c r="I31" s="106"/>
      <c r="J31" s="106"/>
      <c r="K31" s="106"/>
      <c r="L31" s="106"/>
      <c r="M31" s="106"/>
      <c r="N31" s="106"/>
      <c r="O31" s="106"/>
    </row>
    <row r="32" spans="1:15" ht="13.5" customHeight="1" x14ac:dyDescent="0.25">
      <c r="A32" s="475">
        <v>18</v>
      </c>
      <c r="B32" s="479" t="s">
        <v>411</v>
      </c>
      <c r="C32" s="477" t="s">
        <v>396</v>
      </c>
      <c r="D32" s="106">
        <v>10</v>
      </c>
      <c r="E32" s="106">
        <v>2013</v>
      </c>
      <c r="F32" s="106">
        <v>210</v>
      </c>
      <c r="G32" s="106">
        <v>31.5</v>
      </c>
      <c r="H32" s="106">
        <v>15</v>
      </c>
      <c r="I32" s="106"/>
      <c r="J32" s="106"/>
      <c r="K32" s="106"/>
      <c r="L32" s="106"/>
      <c r="M32" s="106"/>
      <c r="N32" s="106"/>
      <c r="O32" s="106"/>
    </row>
    <row r="33" spans="1:15" ht="13.5" customHeight="1" x14ac:dyDescent="0.25">
      <c r="A33" s="475">
        <v>19</v>
      </c>
      <c r="B33" s="479" t="s">
        <v>412</v>
      </c>
      <c r="C33" s="477" t="s">
        <v>396</v>
      </c>
      <c r="D33" s="106">
        <v>1</v>
      </c>
      <c r="E33" s="106">
        <v>2013</v>
      </c>
      <c r="F33" s="106">
        <v>370</v>
      </c>
      <c r="G33" s="106">
        <v>55.5</v>
      </c>
      <c r="H33" s="106">
        <v>15</v>
      </c>
      <c r="I33" s="106"/>
      <c r="J33" s="106"/>
      <c r="K33" s="106"/>
      <c r="L33" s="106"/>
      <c r="M33" s="106"/>
      <c r="N33" s="106"/>
      <c r="O33" s="106"/>
    </row>
    <row r="34" spans="1:15" ht="13.5" customHeight="1" x14ac:dyDescent="0.25">
      <c r="A34" s="475">
        <v>20</v>
      </c>
      <c r="B34" s="479" t="s">
        <v>413</v>
      </c>
      <c r="C34" s="477" t="s">
        <v>396</v>
      </c>
      <c r="D34" s="106"/>
      <c r="E34" s="106">
        <v>2013</v>
      </c>
      <c r="F34" s="106"/>
      <c r="G34" s="106"/>
      <c r="H34" s="106">
        <v>15</v>
      </c>
      <c r="I34" s="106"/>
      <c r="J34" s="106"/>
      <c r="K34" s="106"/>
      <c r="L34" s="106"/>
      <c r="M34" s="106"/>
      <c r="N34" s="106"/>
      <c r="O34" s="106"/>
    </row>
    <row r="35" spans="1:15" ht="13.5" customHeight="1" x14ac:dyDescent="0.25">
      <c r="A35" s="475">
        <v>21</v>
      </c>
      <c r="B35" s="11" t="s">
        <v>1136</v>
      </c>
      <c r="C35" s="480"/>
      <c r="D35" s="108">
        <v>12</v>
      </c>
      <c r="E35" s="106">
        <v>2015</v>
      </c>
      <c r="F35" s="107">
        <v>1980</v>
      </c>
      <c r="G35" s="106">
        <v>297</v>
      </c>
      <c r="H35" s="106">
        <v>15</v>
      </c>
      <c r="I35" s="106"/>
      <c r="J35" s="106">
        <v>11</v>
      </c>
      <c r="K35" s="106">
        <v>250</v>
      </c>
      <c r="L35" s="106">
        <f>J35*K35</f>
        <v>2750</v>
      </c>
      <c r="M35" s="106"/>
      <c r="N35" s="107"/>
      <c r="O35" s="83">
        <f t="shared" ref="O35:O42" si="0">M35*N35</f>
        <v>0</v>
      </c>
    </row>
    <row r="36" spans="1:15" ht="13.5" customHeight="1" x14ac:dyDescent="0.25">
      <c r="A36" s="475">
        <v>22</v>
      </c>
      <c r="B36" s="11" t="s">
        <v>414</v>
      </c>
      <c r="C36" s="480"/>
      <c r="D36" s="108">
        <v>5</v>
      </c>
      <c r="E36" s="106">
        <v>2015</v>
      </c>
      <c r="F36" s="107">
        <v>500</v>
      </c>
      <c r="G36" s="106">
        <v>75</v>
      </c>
      <c r="H36" s="106">
        <v>15</v>
      </c>
      <c r="I36" s="106"/>
      <c r="J36" s="106"/>
      <c r="K36" s="106"/>
      <c r="L36" s="106">
        <f t="shared" ref="L36:L53" si="1">J36*K36</f>
        <v>0</v>
      </c>
      <c r="M36" s="106"/>
      <c r="N36" s="107"/>
      <c r="O36" s="83">
        <f t="shared" si="0"/>
        <v>0</v>
      </c>
    </row>
    <row r="37" spans="1:15" ht="13.5" customHeight="1" x14ac:dyDescent="0.25">
      <c r="A37" s="475">
        <v>23</v>
      </c>
      <c r="B37" s="11" t="s">
        <v>415</v>
      </c>
      <c r="C37" s="480"/>
      <c r="D37" s="108">
        <v>20</v>
      </c>
      <c r="E37" s="106">
        <v>2015</v>
      </c>
      <c r="F37" s="107">
        <v>480</v>
      </c>
      <c r="G37" s="106">
        <v>72</v>
      </c>
      <c r="H37" s="106">
        <v>15</v>
      </c>
      <c r="I37" s="106"/>
      <c r="J37" s="106">
        <v>5</v>
      </c>
      <c r="K37" s="106">
        <v>20</v>
      </c>
      <c r="L37" s="106">
        <f t="shared" si="1"/>
        <v>100</v>
      </c>
      <c r="M37" s="106"/>
      <c r="N37" s="107"/>
      <c r="O37" s="83">
        <f t="shared" si="0"/>
        <v>0</v>
      </c>
    </row>
    <row r="38" spans="1:15" ht="13.5" customHeight="1" x14ac:dyDescent="0.25">
      <c r="A38" s="475">
        <v>24</v>
      </c>
      <c r="B38" s="11" t="s">
        <v>409</v>
      </c>
      <c r="C38" s="480"/>
      <c r="D38" s="108">
        <v>5</v>
      </c>
      <c r="E38" s="106">
        <v>2015</v>
      </c>
      <c r="F38" s="107">
        <v>10</v>
      </c>
      <c r="G38" s="106">
        <v>1.5</v>
      </c>
      <c r="H38" s="106">
        <v>15</v>
      </c>
      <c r="I38" s="106"/>
      <c r="J38" s="106">
        <v>1</v>
      </c>
      <c r="K38" s="106">
        <v>281.2</v>
      </c>
      <c r="L38" s="106">
        <f t="shared" si="1"/>
        <v>281.2</v>
      </c>
      <c r="M38" s="106"/>
      <c r="N38" s="107"/>
      <c r="O38" s="83">
        <f t="shared" si="0"/>
        <v>0</v>
      </c>
    </row>
    <row r="39" spans="1:15" ht="13.5" customHeight="1" x14ac:dyDescent="0.25">
      <c r="A39" s="475">
        <v>25</v>
      </c>
      <c r="B39" s="11"/>
      <c r="C39" s="480"/>
      <c r="D39" s="108">
        <v>10</v>
      </c>
      <c r="E39" s="106">
        <v>2015</v>
      </c>
      <c r="F39" s="107">
        <v>30</v>
      </c>
      <c r="G39" s="106">
        <v>4.5</v>
      </c>
      <c r="H39" s="106">
        <v>15</v>
      </c>
      <c r="I39" s="106"/>
      <c r="J39" s="106"/>
      <c r="K39" s="106"/>
      <c r="L39" s="106">
        <f t="shared" si="1"/>
        <v>0</v>
      </c>
      <c r="M39" s="106"/>
      <c r="N39" s="107"/>
      <c r="O39" s="83">
        <f t="shared" si="0"/>
        <v>0</v>
      </c>
    </row>
    <row r="40" spans="1:15" x14ac:dyDescent="0.25">
      <c r="A40" s="128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>
        <f t="shared" si="1"/>
        <v>0</v>
      </c>
      <c r="M40" s="106"/>
      <c r="N40" s="106"/>
      <c r="O40" s="83">
        <f t="shared" si="0"/>
        <v>0</v>
      </c>
    </row>
    <row r="41" spans="1:15" ht="14.25" x14ac:dyDescent="0.25">
      <c r="A41" s="128"/>
      <c r="B41" s="183" t="s">
        <v>151</v>
      </c>
      <c r="C41" s="183"/>
      <c r="D41" s="106"/>
      <c r="E41" s="106"/>
      <c r="F41" s="106"/>
      <c r="G41" s="106"/>
      <c r="H41" s="106"/>
      <c r="I41" s="106"/>
      <c r="J41" s="106"/>
      <c r="K41" s="106"/>
      <c r="L41" s="106">
        <f t="shared" si="1"/>
        <v>0</v>
      </c>
      <c r="M41" s="106"/>
      <c r="N41" s="106"/>
      <c r="O41" s="83">
        <f t="shared" si="0"/>
        <v>0</v>
      </c>
    </row>
    <row r="42" spans="1:15" ht="13.5" customHeight="1" x14ac:dyDescent="0.25">
      <c r="A42" s="128"/>
      <c r="B42" s="184" t="s">
        <v>145</v>
      </c>
      <c r="C42" s="184"/>
      <c r="D42" s="106"/>
      <c r="E42" s="106"/>
      <c r="F42" s="106"/>
      <c r="G42" s="106"/>
      <c r="H42" s="106"/>
      <c r="I42" s="106"/>
      <c r="J42" s="106"/>
      <c r="K42" s="106"/>
      <c r="L42" s="106">
        <f t="shared" si="1"/>
        <v>0</v>
      </c>
      <c r="M42" s="106"/>
      <c r="N42" s="106"/>
      <c r="O42" s="83">
        <f t="shared" si="0"/>
        <v>0</v>
      </c>
    </row>
    <row r="43" spans="1:15" x14ac:dyDescent="0.25">
      <c r="A43" s="128">
        <v>1</v>
      </c>
      <c r="B43" s="106" t="s">
        <v>418</v>
      </c>
      <c r="C43" s="477" t="s">
        <v>396</v>
      </c>
      <c r="D43" s="106">
        <v>4</v>
      </c>
      <c r="E43" s="106">
        <v>2013</v>
      </c>
      <c r="F43" s="107">
        <v>240</v>
      </c>
      <c r="G43" s="106">
        <v>50.4</v>
      </c>
      <c r="H43" s="106">
        <v>21</v>
      </c>
      <c r="I43" s="106"/>
      <c r="J43" s="106"/>
      <c r="K43" s="106"/>
      <c r="L43" s="106">
        <f t="shared" si="1"/>
        <v>0</v>
      </c>
      <c r="M43" s="106"/>
      <c r="N43" s="106"/>
      <c r="O43" s="83"/>
    </row>
    <row r="44" spans="1:15" x14ac:dyDescent="0.25">
      <c r="A44" s="128">
        <v>2</v>
      </c>
      <c r="B44" s="106" t="s">
        <v>419</v>
      </c>
      <c r="C44" s="477" t="s">
        <v>396</v>
      </c>
      <c r="D44" s="106">
        <v>1</v>
      </c>
      <c r="E44" s="106">
        <v>2013</v>
      </c>
      <c r="F44" s="107">
        <v>150</v>
      </c>
      <c r="G44" s="106">
        <v>31.5</v>
      </c>
      <c r="H44" s="106">
        <v>21</v>
      </c>
      <c r="I44" s="106"/>
      <c r="J44" s="106"/>
      <c r="K44" s="106"/>
      <c r="L44" s="106">
        <f t="shared" si="1"/>
        <v>0</v>
      </c>
      <c r="M44" s="106"/>
      <c r="N44" s="106"/>
      <c r="O44" s="106"/>
    </row>
    <row r="45" spans="1:15" x14ac:dyDescent="0.25">
      <c r="A45" s="128">
        <v>3</v>
      </c>
      <c r="B45" s="106" t="s">
        <v>420</v>
      </c>
      <c r="C45" s="477" t="s">
        <v>396</v>
      </c>
      <c r="D45" s="106">
        <v>3</v>
      </c>
      <c r="E45" s="106">
        <v>2013</v>
      </c>
      <c r="F45" s="107">
        <v>240</v>
      </c>
      <c r="G45" s="106">
        <v>50.4</v>
      </c>
      <c r="H45" s="106">
        <v>21</v>
      </c>
      <c r="I45" s="106"/>
      <c r="J45" s="106"/>
      <c r="K45" s="106"/>
      <c r="L45" s="106">
        <f t="shared" si="1"/>
        <v>0</v>
      </c>
      <c r="M45" s="106"/>
      <c r="N45" s="106"/>
      <c r="O45" s="106"/>
    </row>
    <row r="46" spans="1:15" x14ac:dyDescent="0.25">
      <c r="A46" s="128">
        <v>4</v>
      </c>
      <c r="B46" s="106" t="s">
        <v>421</v>
      </c>
      <c r="C46" s="477" t="s">
        <v>396</v>
      </c>
      <c r="D46" s="106">
        <v>1</v>
      </c>
      <c r="E46" s="106">
        <v>2013</v>
      </c>
      <c r="F46" s="107">
        <v>120</v>
      </c>
      <c r="G46" s="106">
        <v>25.2</v>
      </c>
      <c r="H46" s="106">
        <v>21</v>
      </c>
      <c r="I46" s="106"/>
      <c r="J46" s="106"/>
      <c r="K46" s="106"/>
      <c r="L46" s="106">
        <f t="shared" si="1"/>
        <v>0</v>
      </c>
      <c r="M46" s="106"/>
      <c r="N46" s="106"/>
      <c r="O46" s="106"/>
    </row>
    <row r="47" spans="1:15" x14ac:dyDescent="0.25">
      <c r="A47" s="128">
        <v>5</v>
      </c>
      <c r="B47" s="106" t="s">
        <v>422</v>
      </c>
      <c r="C47" s="477" t="s">
        <v>396</v>
      </c>
      <c r="D47" s="106">
        <v>1</v>
      </c>
      <c r="E47" s="106">
        <v>2013</v>
      </c>
      <c r="F47" s="107">
        <v>60</v>
      </c>
      <c r="G47" s="106">
        <v>12.6</v>
      </c>
      <c r="H47" s="106">
        <v>21</v>
      </c>
      <c r="I47" s="106"/>
      <c r="J47" s="106"/>
      <c r="K47" s="106"/>
      <c r="L47" s="106">
        <f t="shared" si="1"/>
        <v>0</v>
      </c>
      <c r="M47" s="106"/>
      <c r="N47" s="106"/>
      <c r="O47" s="106"/>
    </row>
    <row r="48" spans="1:15" x14ac:dyDescent="0.25">
      <c r="A48" s="128">
        <v>6</v>
      </c>
      <c r="B48" s="481" t="s">
        <v>1139</v>
      </c>
      <c r="C48" s="477" t="s">
        <v>396</v>
      </c>
      <c r="D48" s="106"/>
      <c r="E48" s="106"/>
      <c r="F48" s="107"/>
      <c r="G48" s="106"/>
      <c r="H48" s="106"/>
      <c r="I48" s="106"/>
      <c r="J48" s="106">
        <v>100</v>
      </c>
      <c r="K48" s="106">
        <v>15</v>
      </c>
      <c r="L48" s="106">
        <f t="shared" si="1"/>
        <v>1500</v>
      </c>
      <c r="M48" s="108"/>
      <c r="N48" s="107"/>
      <c r="O48" s="83">
        <f>M48*N48</f>
        <v>0</v>
      </c>
    </row>
    <row r="49" spans="1:15" x14ac:dyDescent="0.25">
      <c r="A49" s="128">
        <v>7</v>
      </c>
      <c r="B49" s="481" t="s">
        <v>423</v>
      </c>
      <c r="C49" s="477" t="s">
        <v>396</v>
      </c>
      <c r="D49" s="106"/>
      <c r="E49" s="106"/>
      <c r="F49" s="107"/>
      <c r="G49" s="106"/>
      <c r="H49" s="106"/>
      <c r="I49" s="106"/>
      <c r="J49" s="106">
        <v>15</v>
      </c>
      <c r="K49" s="106">
        <v>50</v>
      </c>
      <c r="L49" s="106">
        <f t="shared" si="1"/>
        <v>750</v>
      </c>
      <c r="M49" s="108"/>
      <c r="N49" s="107"/>
      <c r="O49" s="83">
        <f>M49*N49</f>
        <v>0</v>
      </c>
    </row>
    <row r="50" spans="1:15" x14ac:dyDescent="0.25">
      <c r="A50" s="128">
        <v>8</v>
      </c>
      <c r="B50" s="106" t="s">
        <v>420</v>
      </c>
      <c r="C50" s="477" t="s">
        <v>396</v>
      </c>
      <c r="D50" s="106"/>
      <c r="E50" s="106"/>
      <c r="F50" s="107"/>
      <c r="G50" s="106"/>
      <c r="H50" s="106"/>
      <c r="I50" s="106"/>
      <c r="J50" s="106">
        <v>10</v>
      </c>
      <c r="K50" s="106">
        <v>55</v>
      </c>
      <c r="L50" s="106">
        <f t="shared" si="1"/>
        <v>550</v>
      </c>
      <c r="M50" s="108"/>
      <c r="N50" s="107"/>
      <c r="O50" s="83">
        <f>M50*N50</f>
        <v>0</v>
      </c>
    </row>
    <row r="51" spans="1:15" x14ac:dyDescent="0.25">
      <c r="A51" s="128">
        <v>9</v>
      </c>
      <c r="B51" s="481" t="s">
        <v>424</v>
      </c>
      <c r="C51" s="477" t="s">
        <v>396</v>
      </c>
      <c r="D51" s="106"/>
      <c r="E51" s="106"/>
      <c r="F51" s="107"/>
      <c r="G51" s="106"/>
      <c r="H51" s="106"/>
      <c r="I51" s="106"/>
      <c r="J51" s="106"/>
      <c r="K51" s="106"/>
      <c r="L51" s="106">
        <f t="shared" si="1"/>
        <v>0</v>
      </c>
      <c r="M51" s="108"/>
      <c r="N51" s="107"/>
      <c r="O51" s="83"/>
    </row>
    <row r="52" spans="1:15" x14ac:dyDescent="0.25">
      <c r="A52" s="128">
        <v>10</v>
      </c>
      <c r="B52" s="481" t="s">
        <v>425</v>
      </c>
      <c r="C52" s="477" t="s">
        <v>396</v>
      </c>
      <c r="D52" s="106"/>
      <c r="E52" s="106"/>
      <c r="F52" s="107"/>
      <c r="G52" s="106"/>
      <c r="H52" s="106"/>
      <c r="I52" s="106"/>
      <c r="J52" s="106"/>
      <c r="K52" s="106"/>
      <c r="L52" s="106">
        <f t="shared" si="1"/>
        <v>0</v>
      </c>
      <c r="M52" s="108"/>
      <c r="N52" s="107"/>
      <c r="O52" s="83"/>
    </row>
    <row r="53" spans="1:15" x14ac:dyDescent="0.25">
      <c r="A53" s="12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>
        <f t="shared" si="1"/>
        <v>0</v>
      </c>
      <c r="M53" s="106"/>
      <c r="N53" s="106"/>
      <c r="O53" s="106"/>
    </row>
    <row r="54" spans="1:15" ht="28.5" x14ac:dyDescent="0.25">
      <c r="A54" s="128"/>
      <c r="B54" s="183" t="s">
        <v>152</v>
      </c>
      <c r="C54" s="128" t="s">
        <v>1</v>
      </c>
      <c r="D54" s="128" t="s">
        <v>1</v>
      </c>
      <c r="E54" s="128" t="s">
        <v>1</v>
      </c>
      <c r="F54" s="128" t="s">
        <v>1</v>
      </c>
      <c r="G54" s="128" t="s">
        <v>1</v>
      </c>
      <c r="H54" s="128" t="s">
        <v>1</v>
      </c>
      <c r="I54" s="128" t="s">
        <v>1</v>
      </c>
      <c r="J54" s="128" t="s">
        <v>1</v>
      </c>
      <c r="K54" s="128" t="s">
        <v>1</v>
      </c>
      <c r="L54" s="128">
        <f>L35+L36+L37+L38+L48+L49+L50</f>
        <v>5931.2</v>
      </c>
      <c r="M54" s="128" t="s">
        <v>1</v>
      </c>
      <c r="N54" s="128" t="s">
        <v>1</v>
      </c>
      <c r="O54" s="129">
        <f>O35+O36+O37+O38+O48+O49+O50</f>
        <v>0</v>
      </c>
    </row>
  </sheetData>
  <mergeCells count="7">
    <mergeCell ref="M10:O10"/>
    <mergeCell ref="D10:I10"/>
    <mergeCell ref="J10:L10"/>
    <mergeCell ref="H2:J2"/>
    <mergeCell ref="A5:K5"/>
    <mergeCell ref="A7:K7"/>
    <mergeCell ref="B4:E4"/>
  </mergeCells>
  <phoneticPr fontId="2" type="noConversion"/>
  <pageMargins left="0.19" right="0.18" top="0.38" bottom="0.24" header="0.17" footer="0.19"/>
  <pageSetup paperSize="9" scale="8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1-ԱՄՓՈՓ</vt:lpstr>
      <vt:lpstr>2-ԸՆԴԱՄԵՆԸ ԾԱԽՍԵՐ</vt:lpstr>
      <vt:lpstr>3-Ծախսերի բացվածք</vt:lpstr>
      <vt:lpstr>4-ԿԱՊ</vt:lpstr>
      <vt:lpstr>7-էլ-էներգիա</vt:lpstr>
      <vt:lpstr>8-էլ-էներգիա-ջեռուցում</vt:lpstr>
      <vt:lpstr>10-գործուղում</vt:lpstr>
      <vt:lpstr>11-ավտոմեքենա</vt:lpstr>
      <vt:lpstr>12-վարչական սարքավորումներ</vt:lpstr>
      <vt:lpstr>14տարածքներ</vt:lpstr>
      <vt:lpstr>15կառուցվածք</vt:lpstr>
      <vt:lpstr>16հաստիացուցակ</vt:lpstr>
      <vt:lpstr>29աշխատավարձի ֆոնդ</vt:lpstr>
      <vt:lpstr>30ամփոփ-ցուցանիշներ</vt:lpstr>
      <vt:lpstr>'16հաստիացուցակ'!Заголовки_для_печати</vt:lpstr>
      <vt:lpstr>'2-ԸՆԴԱՄԵՆԸ ԾԱԽՍԵՐ'!Заголовки_для_печати</vt:lpstr>
    </vt:vector>
  </TitlesOfParts>
  <Company>MFE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Hamlet Stepanyan</cp:lastModifiedBy>
  <cp:lastPrinted>2019-05-29T05:37:11Z</cp:lastPrinted>
  <dcterms:created xsi:type="dcterms:W3CDTF">2003-05-20T07:22:10Z</dcterms:created>
  <dcterms:modified xsi:type="dcterms:W3CDTF">2019-06-04T06:17:19Z</dcterms:modified>
</cp:coreProperties>
</file>